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65" activeTab="3"/>
  </bookViews>
  <sheets>
    <sheet name="Тариф 01.09.2021г." sheetId="6" r:id="rId1"/>
    <sheet name="Штат 01.09.2021г" sheetId="10" r:id="rId2"/>
    <sheet name="допка 20,09,2021" sheetId="8" r:id="rId3"/>
    <sheet name="Лист1" sheetId="11" r:id="rId4"/>
  </sheets>
  <externalReferences>
    <externalReference r:id="rId5"/>
  </externalReferences>
  <definedNames>
    <definedName name="_xlnm._FilterDatabase" localSheetId="2" hidden="1">'допка 20,09,2021'!$A$41:$AK$46</definedName>
    <definedName name="_xlnm._FilterDatabase" localSheetId="0" hidden="1">'Тариф 01.09.2021г.'!$A$41:$AK$83</definedName>
    <definedName name="БДО" localSheetId="1">#REF!</definedName>
    <definedName name="БДО">#REF!</definedName>
    <definedName name="_xlnm.Print_Area" localSheetId="2">'допка 20,09,2021'!$A$1:$AY$49</definedName>
    <definedName name="_xlnm.Print_Area" localSheetId="0">'Тариф 01.09.2021г.'!$A$1:$BA$86</definedName>
    <definedName name="_xlnm.Print_Area" localSheetId="1">'Штат 01.09.2021г'!$A$1:$AF$45</definedName>
  </definedNames>
  <calcPr calcId="144525"/>
</workbook>
</file>

<file path=xl/sharedStrings.xml><?xml version="1.0" encoding="utf-8"?>
<sst xmlns="http://schemas.openxmlformats.org/spreadsheetml/2006/main" count="631" uniqueCount="278">
  <si>
    <t>СОГЛАСОВАНО</t>
  </si>
  <si>
    <t xml:space="preserve">    УТВЕРЖДАЮ</t>
  </si>
  <si>
    <t>№ п/п</t>
  </si>
  <si>
    <t>Показатели на начало учебного года</t>
  </si>
  <si>
    <t>0</t>
  </si>
  <si>
    <t>1-4</t>
  </si>
  <si>
    <t>5-9</t>
  </si>
  <si>
    <t>10-11</t>
  </si>
  <si>
    <t>ВСЕГО</t>
  </si>
  <si>
    <t>Фонд заработной платы</t>
  </si>
  <si>
    <t>_______</t>
  </si>
  <si>
    <t>Число классов на 1 сентября</t>
  </si>
  <si>
    <r>
      <rPr>
        <sz val="20"/>
        <rFont val="Times New Roman"/>
        <charset val="204"/>
      </rPr>
      <t xml:space="preserve">Штат в кол-ве </t>
    </r>
    <r>
      <rPr>
        <b/>
        <u/>
        <sz val="20"/>
        <rFont val="Times New Roman"/>
        <charset val="204"/>
      </rPr>
      <t>___</t>
    </r>
    <r>
      <rPr>
        <sz val="20"/>
        <rFont val="Times New Roman"/>
        <charset val="204"/>
      </rPr>
      <t xml:space="preserve"> шт.единиц</t>
    </r>
  </si>
  <si>
    <t>Число кл-комлектов на 1 сентября</t>
  </si>
  <si>
    <t>Руководитель ГУ "Управления образования Акмолинской области"</t>
  </si>
  <si>
    <t>Руководитель ГУ «Отдела образования по Аршалынскому району управления образования Акмолинской области»</t>
  </si>
  <si>
    <t>Директор КГУ" Общеобразовательная школа села Волгодоновка отдела образования по Аршалынскому району управления образования Акмолинской области"</t>
  </si>
  <si>
    <t>Число учащихся на 1 сентября</t>
  </si>
  <si>
    <t>_______________________</t>
  </si>
  <si>
    <t>Гусева Л.Ю.</t>
  </si>
  <si>
    <t>Общее число препод. работы в неделю по тарификации в т.ч.</t>
  </si>
  <si>
    <r>
      <rPr>
        <sz val="20"/>
        <rFont val="Times New Roman"/>
        <charset val="204"/>
      </rPr>
      <t>______________________</t>
    </r>
    <r>
      <rPr>
        <b/>
        <sz val="20"/>
        <rFont val="Times New Roman"/>
        <charset val="204"/>
      </rPr>
      <t>_Жусупов Б.А.</t>
    </r>
  </si>
  <si>
    <t>_____________________________________Молдахметов М.Р.</t>
  </si>
  <si>
    <t>оплачено из бюджета</t>
  </si>
  <si>
    <t>а)</t>
  </si>
  <si>
    <t>число часов по уч. плану</t>
  </si>
  <si>
    <t>б)</t>
  </si>
  <si>
    <t>число дополнительных часов</t>
  </si>
  <si>
    <t>НВП</t>
  </si>
  <si>
    <t>казахский  язык</t>
  </si>
  <si>
    <t>казахская  литература</t>
  </si>
  <si>
    <t xml:space="preserve">Т А Р И Ф И К А Ц И О Н Н Ы Й     С П И С О К </t>
  </si>
  <si>
    <t>хореография</t>
  </si>
  <si>
    <t>учителей и других работников</t>
  </si>
  <si>
    <t>инфоматика</t>
  </si>
  <si>
    <t>иностранный  язык</t>
  </si>
  <si>
    <t>трудовое  обучение</t>
  </si>
  <si>
    <t>Адрес школы:   Акмолинская область Аршалынский район с.Волгодоновка улица Центральная дом 5</t>
  </si>
  <si>
    <t>русский яз и литература</t>
  </si>
  <si>
    <t xml:space="preserve"> </t>
  </si>
  <si>
    <t>основы экономических  знаний</t>
  </si>
  <si>
    <t>профиль</t>
  </si>
  <si>
    <t>прикл.курсы</t>
  </si>
  <si>
    <t>кол-во класс комплектов:</t>
  </si>
  <si>
    <t xml:space="preserve">обучение  на  дому  </t>
  </si>
  <si>
    <t>самопознание</t>
  </si>
  <si>
    <t>кол-во детей:</t>
  </si>
  <si>
    <t>спец.группа         самопознание</t>
  </si>
  <si>
    <t>основы  малого  бизнеса</t>
  </si>
  <si>
    <t>прочие, кружки</t>
  </si>
  <si>
    <t>спорт</t>
  </si>
  <si>
    <t>туризм</t>
  </si>
  <si>
    <t>НА 01.09.2021-2022 УЧЕБНЫЙ ГОД</t>
  </si>
  <si>
    <t>№  п/п</t>
  </si>
  <si>
    <t>Ф.И.О</t>
  </si>
  <si>
    <t>Занимаемая должность преподаваемого  предмета</t>
  </si>
  <si>
    <t xml:space="preserve">Образование </t>
  </si>
  <si>
    <t>категория</t>
  </si>
  <si>
    <t>Категория</t>
  </si>
  <si>
    <t>Коэффициент</t>
  </si>
  <si>
    <t>Педагогический стаж</t>
  </si>
  <si>
    <t>Должностной оклад (17697* коэф)</t>
  </si>
  <si>
    <t>25% сельские</t>
  </si>
  <si>
    <t>50 % увеличения ДО</t>
  </si>
  <si>
    <t>Новый Должностной оклад  50%</t>
  </si>
  <si>
    <t>Число часов в неделю</t>
  </si>
  <si>
    <t>Заработная плата в месяц</t>
  </si>
  <si>
    <t xml:space="preserve">Заработная плата </t>
  </si>
  <si>
    <t>Доплаты за обучение на дому</t>
  </si>
  <si>
    <t>Доплаты за ОСО</t>
  </si>
  <si>
    <t>Доплаты за квалтест</t>
  </si>
  <si>
    <t>Доплаты полиязычие</t>
  </si>
  <si>
    <t>Дополнительная оплата</t>
  </si>
  <si>
    <t>Всего заработная плата в месяц</t>
  </si>
  <si>
    <t>предшкола</t>
  </si>
  <si>
    <t>1-4 классы</t>
  </si>
  <si>
    <t>5-9 классы</t>
  </si>
  <si>
    <t>10-11 классы</t>
  </si>
  <si>
    <t>количество часов инклюзив</t>
  </si>
  <si>
    <t>сумма доплаты инклюзив</t>
  </si>
  <si>
    <t>количество часов ОСО</t>
  </si>
  <si>
    <t>сумма доплаты ОСО</t>
  </si>
  <si>
    <t>количество часов</t>
  </si>
  <si>
    <t>%</t>
  </si>
  <si>
    <t>сумма доплаты квалтест</t>
  </si>
  <si>
    <t xml:space="preserve">Общее количество часов </t>
  </si>
  <si>
    <t>Общее количество часов языки</t>
  </si>
  <si>
    <t xml:space="preserve">классное  руководство 1-4 </t>
  </si>
  <si>
    <t>классное  руководство  5-11</t>
  </si>
  <si>
    <t>классное  руководство          50%               60%</t>
  </si>
  <si>
    <t>заведующий кабинетом</t>
  </si>
  <si>
    <t>заведующий мастерской</t>
  </si>
  <si>
    <t>за степень магистра</t>
  </si>
  <si>
    <t>физкультура</t>
  </si>
  <si>
    <t>за наставничество</t>
  </si>
  <si>
    <t>Прочие надбавки</t>
  </si>
  <si>
    <t>Тукенова  Еркен    Жарылкапбергеновна</t>
  </si>
  <si>
    <t>казахский язык и литература</t>
  </si>
  <si>
    <t>высшее</t>
  </si>
  <si>
    <t>педагог-исследователь</t>
  </si>
  <si>
    <t>В2-1</t>
  </si>
  <si>
    <t>36</t>
  </si>
  <si>
    <t>Гусева Любовь Юрьевна</t>
  </si>
  <si>
    <t>русский язык и литература</t>
  </si>
  <si>
    <t>26,8</t>
  </si>
  <si>
    <t>вакансия</t>
  </si>
  <si>
    <t xml:space="preserve">Жанти Ардабек </t>
  </si>
  <si>
    <t>музыка</t>
  </si>
  <si>
    <t xml:space="preserve"> педагог-исследователь</t>
  </si>
  <si>
    <t>20</t>
  </si>
  <si>
    <t>Снежицкая Светлана Александровна (вакансия)</t>
  </si>
  <si>
    <t>начальные классы</t>
  </si>
  <si>
    <t>высшая</t>
  </si>
  <si>
    <t>38</t>
  </si>
  <si>
    <t>Колибаба Татьяна Михайловна</t>
  </si>
  <si>
    <t>английский язык</t>
  </si>
  <si>
    <t>34</t>
  </si>
  <si>
    <t>Журкин Ернар Балтабаевич</t>
  </si>
  <si>
    <t>физика</t>
  </si>
  <si>
    <t>педагог-эксперт</t>
  </si>
  <si>
    <t>В2-2</t>
  </si>
  <si>
    <t>3,8</t>
  </si>
  <si>
    <t>Кыдырбаева Тыныштык Узакбаевна</t>
  </si>
  <si>
    <t xml:space="preserve"> педагог-эксперт</t>
  </si>
  <si>
    <t>Хавдеш Фариза</t>
  </si>
  <si>
    <t>Кенжегулова Карлыгаш Ертаевна</t>
  </si>
  <si>
    <t>Байманова Галия Бектемировна</t>
  </si>
  <si>
    <t>Бердибеков Бауыржан Бекмуратович</t>
  </si>
  <si>
    <t>биология,хмия</t>
  </si>
  <si>
    <t>Байманова Гулсина Сабырбековна</t>
  </si>
  <si>
    <t>Хасаншина Светлана Николаевна</t>
  </si>
  <si>
    <t>биология</t>
  </si>
  <si>
    <t>12.10</t>
  </si>
  <si>
    <t>выкансия</t>
  </si>
  <si>
    <t>химия</t>
  </si>
  <si>
    <t>бк</t>
  </si>
  <si>
    <t>В2-4</t>
  </si>
  <si>
    <t>Йылал Гульсара Маралтаевна</t>
  </si>
  <si>
    <t>история</t>
  </si>
  <si>
    <t>Лапина Ирина Викторовна</t>
  </si>
  <si>
    <t>Жанти Алмасбек</t>
  </si>
  <si>
    <t>Бiржекен Айгуль Оаралиевна</t>
  </si>
  <si>
    <t>Павлова Людмила Борисовна</t>
  </si>
  <si>
    <t>математика</t>
  </si>
  <si>
    <t>первая</t>
  </si>
  <si>
    <t>Одарич Наталья Виллеевна</t>
  </si>
  <si>
    <t>29,6</t>
  </si>
  <si>
    <t>Каким Жанболат Жанибекович</t>
  </si>
  <si>
    <t xml:space="preserve"> математика</t>
  </si>
  <si>
    <t>педагог-модератор</t>
  </si>
  <si>
    <t>В2-3</t>
  </si>
  <si>
    <t>5</t>
  </si>
  <si>
    <t>Тлемисова Сания Еркиновна</t>
  </si>
  <si>
    <t>4</t>
  </si>
  <si>
    <t>Абильхайырова Сандугаш Болатбаевна</t>
  </si>
  <si>
    <t>начальные классы,самопознание</t>
  </si>
  <si>
    <t xml:space="preserve"> педагог-модератор</t>
  </si>
  <si>
    <t>8,11</t>
  </si>
  <si>
    <t>Кенжалиев Асылбек Камалович</t>
  </si>
  <si>
    <t>география</t>
  </si>
  <si>
    <t>Гусев Глеб Владимирович</t>
  </si>
  <si>
    <t>2</t>
  </si>
  <si>
    <t>Закумбаев Аскар Бахитович</t>
  </si>
  <si>
    <t>вторая</t>
  </si>
  <si>
    <t>25,8</t>
  </si>
  <si>
    <t>Сатанова Асель</t>
  </si>
  <si>
    <t>1</t>
  </si>
  <si>
    <t>Ковалева Татьяна Николаевна</t>
  </si>
  <si>
    <t>психолог</t>
  </si>
  <si>
    <t>8,8</t>
  </si>
  <si>
    <t>информатика</t>
  </si>
  <si>
    <t>без категории</t>
  </si>
  <si>
    <t>Пархоменко Вера Николаевна</t>
  </si>
  <si>
    <t xml:space="preserve">средне-специальное </t>
  </si>
  <si>
    <t>35,10</t>
  </si>
  <si>
    <t>Жаканова Перизат Бахитжановна</t>
  </si>
  <si>
    <t>Маслова Татьяна Анатольевна</t>
  </si>
  <si>
    <t>В4-2</t>
  </si>
  <si>
    <t>до года</t>
  </si>
  <si>
    <t>Бердибек Аида Бауыржановна</t>
  </si>
  <si>
    <t>технология,информатика</t>
  </si>
  <si>
    <t>ИТОГО:</t>
  </si>
  <si>
    <t>Директор школы:                 Гусева Л.Ю.</t>
  </si>
  <si>
    <t xml:space="preserve">Главный экономист                                              </t>
  </si>
  <si>
    <t xml:space="preserve">  "СОГЛАСОВАНО"</t>
  </si>
  <si>
    <t>Утверждаю</t>
  </si>
  <si>
    <t xml:space="preserve">штат в кол-ве   </t>
  </si>
  <si>
    <t>____ ед</t>
  </si>
  <si>
    <t>Руководитель ГУ УО Акмолинской области</t>
  </si>
  <si>
    <t xml:space="preserve">с мес.ФЗП </t>
  </si>
  <si>
    <t>_________</t>
  </si>
  <si>
    <t>_______________________  тенге</t>
  </si>
  <si>
    <t>Жусупов Б.А</t>
  </si>
  <si>
    <t>____________Молдахметов М.Р.</t>
  </si>
  <si>
    <t>Директор КГУ «Общеобразовательная школа села Волгодоновка отдела образования по Аршалынскому району управления образования Акмолинской области»                 Гусева Л.Ю.</t>
  </si>
  <si>
    <t>"    "___________2021 год</t>
  </si>
  <si>
    <t>"    " ____________  2021 г</t>
  </si>
  <si>
    <t xml:space="preserve">       Штатное расписание</t>
  </si>
  <si>
    <t xml:space="preserve">                                                    КГУ «Общеобразовательная школа села Волгодоновка отдела образования по Аршалынскому району управления образования Акмолинской области»</t>
  </si>
  <si>
    <t>кол-во кл.компл:  21</t>
  </si>
  <si>
    <t>БЛЖ</t>
  </si>
  <si>
    <t xml:space="preserve">№№ </t>
  </si>
  <si>
    <t>Тегі, аты, әкесінің аты</t>
  </si>
  <si>
    <t>Лауазым атауы</t>
  </si>
  <si>
    <t>білімі</t>
  </si>
  <si>
    <t>санаты</t>
  </si>
  <si>
    <t>мамандығы бойынша еңбек өтілі</t>
  </si>
  <si>
    <t>жалақы есептеу коэффициенті</t>
  </si>
  <si>
    <t>штаттық бірлік</t>
  </si>
  <si>
    <t>Қызметтік айлықақы</t>
  </si>
  <si>
    <t>Ауылдық жердегі жұмысы үшін арттыру</t>
  </si>
  <si>
    <t>25% қоса есептелгендегі еңбек ақы жиынтығы</t>
  </si>
  <si>
    <t>ҚОСЫМША АҚЫЛАР МЕН ҮСТЕМЕАҚЫЛАР</t>
  </si>
  <si>
    <t>Айлық еңбек ақы, барлығы</t>
  </si>
  <si>
    <t>Кәсіптік, біліктілік санаты, разряды</t>
  </si>
  <si>
    <t>санаты бойынша</t>
  </si>
  <si>
    <t>50% көтерме ақы</t>
  </si>
  <si>
    <t>квалтес</t>
  </si>
  <si>
    <t>Оқулықтардың кiтапханалық қорымен жұмыс істегенi үшін</t>
  </si>
  <si>
    <t>20%хлор</t>
  </si>
  <si>
    <t>Сыныптық біліктілігі үшін</t>
  </si>
  <si>
    <t>Мереке кундері үшін</t>
  </si>
  <si>
    <t>түнгі жұмыс үшін</t>
  </si>
  <si>
    <t>Ерекше еңбек жағдайлары үшін үстемеақы 10%</t>
  </si>
  <si>
    <t>Қосымша төлемдердің жиынтық сомасы</t>
  </si>
  <si>
    <t>пайыз</t>
  </si>
  <si>
    <t>сомасы</t>
  </si>
  <si>
    <t>бірлік</t>
  </si>
  <si>
    <t>Сомасы</t>
  </si>
  <si>
    <t>кун саны</t>
  </si>
  <si>
    <t>төлеуге жататын сағат саны</t>
  </si>
  <si>
    <t>мектеп директоры</t>
  </si>
  <si>
    <t>жоғарғы</t>
  </si>
  <si>
    <t>А1-3</t>
  </si>
  <si>
    <t>зам по УВР</t>
  </si>
  <si>
    <t>А1-3-1</t>
  </si>
  <si>
    <t xml:space="preserve">Одарич Наталья Виллевна </t>
  </si>
  <si>
    <t>Вакансия</t>
  </si>
  <si>
    <t>зам по ВР</t>
  </si>
  <si>
    <t>Бердібеков Бауыржан Бекмұратұлы</t>
  </si>
  <si>
    <t>Джумабекова Фатима Маратовна</t>
  </si>
  <si>
    <t>зам.поАХД</t>
  </si>
  <si>
    <t>А3-4</t>
  </si>
  <si>
    <t>АӘД</t>
  </si>
  <si>
    <t>вожатый</t>
  </si>
  <si>
    <t>В3-4</t>
  </si>
  <si>
    <t>б/к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</si>
  <si>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</si>
  <si>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Каракольчева Ксения Александровна</t>
  </si>
  <si>
    <t>логопед</t>
  </si>
  <si>
    <t>Кусельбаева Гульнар Ислямовна</t>
  </si>
  <si>
    <t>кітапхана менгерушісі</t>
  </si>
  <si>
    <t>среднее специальное</t>
  </si>
  <si>
    <t>С-3</t>
  </si>
  <si>
    <t>іс жүргізуші</t>
  </si>
  <si>
    <t>D</t>
  </si>
  <si>
    <t>Джумабекова Амангельды Базарбаевна</t>
  </si>
  <si>
    <t>Хлопова Альвина Яковлевна</t>
  </si>
  <si>
    <t>орта</t>
  </si>
  <si>
    <t>Любименко Наталья Васильевна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</si>
  <si>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</si>
  <si>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Хлопов Олег Викторович</t>
  </si>
  <si>
    <t>Бондарев Владимир Викторович</t>
  </si>
  <si>
    <t>Болих Вероника Витальевна</t>
  </si>
  <si>
    <t>күзетші</t>
  </si>
  <si>
    <t>Титаренко Ирина Николаевна</t>
  </si>
  <si>
    <t>вахтер</t>
  </si>
  <si>
    <t>Гусев Владимир Александрович</t>
  </si>
  <si>
    <t>слесарь сантехник</t>
  </si>
  <si>
    <t>арнаулы орта</t>
  </si>
  <si>
    <t>Жиынтығы:</t>
  </si>
  <si>
    <t xml:space="preserve">Мектеп директоры.:  </t>
  </si>
  <si>
    <t>Бас экономист:</t>
  </si>
  <si>
    <t>Акылбаев Б.</t>
  </si>
  <si>
    <t xml:space="preserve">ДОП Т А Р И Ф И К А Ц И О Н Н Ы Й     С П И С О К </t>
  </si>
  <si>
    <t>НА 20.09.2021-2022 УЧЕБНЫЙ ГОД</t>
  </si>
  <si>
    <t>Директор школы</t>
  </si>
  <si>
    <t>зам.по ВР</t>
  </si>
</sst>
</file>

<file path=xl/styles.xml><?xml version="1.0" encoding="utf-8"?>
<styleSheet xmlns="http://schemas.openxmlformats.org/spreadsheetml/2006/main">
  <numFmts count="8">
    <numFmt numFmtId="176" formatCode="_-* #,##0.00_р_._-;\-* #,##0.00_р_._-;_-* &quot;-&quot;??_р_._-;_-@_-"/>
    <numFmt numFmtId="177" formatCode="_ * #,##0_ ;_ * \-#,##0_ ;_ * &quot;-&quot;_ ;_ @_ "/>
    <numFmt numFmtId="178" formatCode="#,##0.00_ ;\-#,##0.00\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9" formatCode="_-* #,##0_р_._-;\-* #,##0_р_._-;_-* &quot;-&quot;??_р_._-;_-@_-"/>
    <numFmt numFmtId="180" formatCode="0.0"/>
    <numFmt numFmtId="181" formatCode="#,##0.0_ ;\-#,##0.0\ "/>
  </numFmts>
  <fonts count="52">
    <font>
      <sz val="10"/>
      <name val="Arial Cyr"/>
      <charset val="204"/>
    </font>
    <font>
      <sz val="28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sz val="10"/>
      <name val="Times New Roman"/>
      <charset val="204"/>
    </font>
    <font>
      <sz val="20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0"/>
      <name val="Times New Roman"/>
      <charset val="204"/>
    </font>
    <font>
      <sz val="28"/>
      <name val="Times New Roman"/>
      <charset val="204"/>
    </font>
    <font>
      <b/>
      <sz val="20"/>
      <name val="Times New Roman"/>
      <charset val="204"/>
    </font>
    <font>
      <sz val="20"/>
      <name val="Arial Cyr"/>
      <charset val="204"/>
    </font>
    <font>
      <sz val="22.5"/>
      <name val="Arial Cyr"/>
      <charset val="204"/>
    </font>
    <font>
      <sz val="22.5"/>
      <name val="Times New Roman"/>
      <charset val="204"/>
    </font>
    <font>
      <b/>
      <sz val="16"/>
      <name val="Times New Roman"/>
      <charset val="204"/>
    </font>
    <font>
      <sz val="36"/>
      <name val="Times New Roman"/>
      <charset val="204"/>
    </font>
    <font>
      <b/>
      <sz val="14"/>
      <name val="Times New Roman"/>
      <charset val="204"/>
    </font>
    <font>
      <b/>
      <sz val="22.5"/>
      <name val="Times New Roman"/>
      <charset val="204"/>
    </font>
    <font>
      <sz val="22.5"/>
      <color indexed="22"/>
      <name val="Times New Roman"/>
      <charset val="204"/>
    </font>
    <font>
      <b/>
      <sz val="18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8"/>
      <name val="Times New Roman"/>
      <charset val="204"/>
    </font>
    <font>
      <b/>
      <sz val="12"/>
      <name val="Times New Roman"/>
      <charset val="204"/>
    </font>
    <font>
      <sz val="12"/>
      <name val="Arial Cyr"/>
      <charset val="204"/>
    </font>
    <font>
      <b/>
      <sz val="13"/>
      <name val="Times New Roman"/>
      <charset val="204"/>
    </font>
    <font>
      <sz val="11"/>
      <name val="Calibri"/>
      <charset val="204"/>
    </font>
    <font>
      <i/>
      <sz val="20"/>
      <name val="Times New Roman"/>
      <charset val="204"/>
    </font>
    <font>
      <sz val="10"/>
      <name val="Arial"/>
      <charset val="20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u/>
      <sz val="20"/>
      <name val="Times New Roman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34" fillId="16" borderId="0" applyNumberFormat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6" fontId="31" fillId="0" borderId="0" applyFill="0" applyBorder="0" applyAlignment="0" applyProtection="0"/>
    <xf numFmtId="0" fontId="34" fillId="1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35" fillId="11" borderId="3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/>
    <xf numFmtId="0" fontId="34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25" borderId="3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22" borderId="33" applyNumberFormat="0" applyAlignment="0" applyProtection="0">
      <alignment vertical="center"/>
    </xf>
    <xf numFmtId="0" fontId="45" fillId="27" borderId="36" applyNumberFormat="0" applyAlignment="0" applyProtection="0">
      <alignment vertical="center"/>
    </xf>
    <xf numFmtId="0" fontId="43" fillId="11" borderId="33" applyNumberFormat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0" borderId="0"/>
    <xf numFmtId="0" fontId="34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1" fillId="0" borderId="0" applyFill="0" applyBorder="0" applyAlignment="0" applyProtection="0"/>
  </cellStyleXfs>
  <cellXfs count="4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/>
    <xf numFmtId="0" fontId="5" fillId="2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textRotation="90" wrapText="1"/>
    </xf>
    <xf numFmtId="0" fontId="6" fillId="0" borderId="2" xfId="0" applyFont="1" applyFill="1" applyBorder="1" applyAlignment="1">
      <alignment horizontal="right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textRotation="90" wrapText="1"/>
    </xf>
    <xf numFmtId="0" fontId="7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2" fillId="0" borderId="0" xfId="0" applyFont="1" applyFill="1" applyAlignment="1"/>
    <xf numFmtId="0" fontId="6" fillId="2" borderId="0" xfId="0" applyFont="1" applyFill="1" applyAlignment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9" fillId="2" borderId="0" xfId="0" applyFont="1" applyFill="1"/>
    <xf numFmtId="0" fontId="10" fillId="0" borderId="0" xfId="0" applyFont="1" applyFill="1"/>
    <xf numFmtId="0" fontId="10" fillId="2" borderId="0" xfId="0" applyFont="1" applyFill="1"/>
    <xf numFmtId="0" fontId="3" fillId="2" borderId="0" xfId="0" applyFont="1" applyFill="1"/>
    <xf numFmtId="1" fontId="5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1" fontId="5" fillId="0" borderId="0" xfId="0" applyNumberFormat="1" applyFont="1" applyFill="1"/>
    <xf numFmtId="1" fontId="6" fillId="0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/>
    </xf>
    <xf numFmtId="179" fontId="7" fillId="3" borderId="1" xfId="7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79" fontId="7" fillId="2" borderId="1" xfId="7" applyNumberFormat="1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 wrapText="1"/>
    </xf>
    <xf numFmtId="179" fontId="7" fillId="0" borderId="1" xfId="7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" fontId="6" fillId="0" borderId="0" xfId="0" applyNumberFormat="1" applyFont="1" applyFill="1" applyAlignment="1"/>
    <xf numFmtId="1" fontId="9" fillId="0" borderId="0" xfId="0" applyNumberFormat="1" applyFont="1" applyFill="1"/>
    <xf numFmtId="1" fontId="10" fillId="0" borderId="0" xfId="0" applyNumberFormat="1" applyFont="1" applyFill="1"/>
    <xf numFmtId="1" fontId="3" fillId="0" borderId="0" xfId="0" applyNumberFormat="1" applyFont="1" applyFill="1"/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textRotation="90"/>
    </xf>
    <xf numFmtId="9" fontId="6" fillId="5" borderId="2" xfId="0" applyNumberFormat="1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wrapText="1"/>
    </xf>
    <xf numFmtId="9" fontId="6" fillId="2" borderId="9" xfId="0" applyNumberFormat="1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79" fontId="7" fillId="0" borderId="1" xfId="7" applyNumberFormat="1" applyFont="1" applyFill="1" applyBorder="1" applyAlignment="1">
      <alignment horizontal="center" vertical="center"/>
    </xf>
    <xf numFmtId="179" fontId="7" fillId="2" borderId="1" xfId="7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9" fontId="6" fillId="2" borderId="1" xfId="0" applyNumberFormat="1" applyFont="1" applyFill="1" applyBorder="1" applyAlignment="1">
      <alignment horizontal="center"/>
    </xf>
    <xf numFmtId="9" fontId="6" fillId="2" borderId="7" xfId="0" applyNumberFormat="1" applyFont="1" applyFill="1" applyBorder="1" applyAlignment="1">
      <alignment horizontal="center" vertical="center"/>
    </xf>
    <xf numFmtId="9" fontId="6" fillId="2" borderId="8" xfId="0" applyNumberFormat="1" applyFont="1" applyFill="1" applyBorder="1" applyAlignment="1">
      <alignment horizontal="center" vertical="center"/>
    </xf>
    <xf numFmtId="9" fontId="6" fillId="2" borderId="9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 textRotation="90"/>
    </xf>
    <xf numFmtId="9" fontId="6" fillId="5" borderId="7" xfId="0" applyNumberFormat="1" applyFont="1" applyFill="1" applyBorder="1" applyAlignment="1">
      <alignment horizontal="center" vertical="center" textRotation="90"/>
    </xf>
    <xf numFmtId="9" fontId="6" fillId="5" borderId="8" xfId="0" applyNumberFormat="1" applyFont="1" applyFill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textRotation="90"/>
    </xf>
    <xf numFmtId="9" fontId="6" fillId="5" borderId="3" xfId="0" applyNumberFormat="1" applyFont="1" applyFill="1" applyBorder="1" applyAlignment="1">
      <alignment horizontal="center" vertical="center" textRotation="90" wrapText="1"/>
    </xf>
    <xf numFmtId="9" fontId="6" fillId="5" borderId="3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 wrapText="1"/>
    </xf>
    <xf numFmtId="180" fontId="7" fillId="2" borderId="1" xfId="7" applyNumberFormat="1" applyFont="1" applyFill="1" applyBorder="1" applyAlignment="1">
      <alignment vertical="center" wrapText="1"/>
    </xf>
    <xf numFmtId="178" fontId="7" fillId="2" borderId="1" xfId="7" applyNumberFormat="1" applyFont="1" applyFill="1" applyBorder="1" applyAlignment="1">
      <alignment vertical="center" wrapText="1"/>
    </xf>
    <xf numFmtId="179" fontId="7" fillId="2" borderId="1" xfId="7" applyNumberFormat="1" applyFont="1" applyFill="1" applyBorder="1" applyAlignment="1">
      <alignment vertical="center"/>
    </xf>
    <xf numFmtId="10" fontId="6" fillId="0" borderId="0" xfId="0" applyNumberFormat="1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9" fontId="6" fillId="5" borderId="9" xfId="0" applyNumberFormat="1" applyFont="1" applyFill="1" applyBorder="1" applyAlignment="1">
      <alignment horizontal="center" vertical="center" textRotation="90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textRotation="90"/>
    </xf>
    <xf numFmtId="9" fontId="6" fillId="5" borderId="7" xfId="0" applyNumberFormat="1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vertical="center"/>
    </xf>
    <xf numFmtId="179" fontId="6" fillId="0" borderId="0" xfId="0" applyNumberFormat="1" applyFont="1" applyFill="1" applyAlignment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9" fontId="6" fillId="0" borderId="1" xfId="7" applyNumberFormat="1" applyFont="1" applyFill="1" applyBorder="1" applyAlignment="1">
      <alignment vertical="center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14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2" borderId="0" xfId="0" applyFont="1" applyFill="1" applyAlignment="1" applyProtection="1">
      <protection locked="0"/>
    </xf>
    <xf numFmtId="0" fontId="5" fillId="2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1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1" fontId="11" fillId="0" borderId="0" xfId="0" applyNumberFormat="1" applyFont="1" applyFill="1" applyAlignment="1" applyProtection="1">
      <protection locked="0"/>
    </xf>
    <xf numFmtId="0" fontId="5" fillId="0" borderId="0" xfId="0" applyFont="1" applyFill="1" applyProtection="1">
      <protection locked="0"/>
    </xf>
    <xf numFmtId="1" fontId="11" fillId="0" borderId="0" xfId="0" applyNumberFormat="1" applyFont="1" applyFill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textRotation="90" wrapText="1"/>
    </xf>
    <xf numFmtId="0" fontId="15" fillId="0" borderId="2" xfId="0" applyFont="1" applyFill="1" applyBorder="1" applyAlignment="1">
      <alignment horizontal="right" vertical="center" textRotation="90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textRotation="90" wrapText="1"/>
    </xf>
    <xf numFmtId="0" fontId="5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49" fontId="1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17" fillId="0" borderId="0" xfId="0" applyFont="1" applyFill="1" applyAlignment="1"/>
    <xf numFmtId="0" fontId="3" fillId="0" borderId="0" xfId="0" applyFont="1" applyFill="1" applyAlignment="1"/>
    <xf numFmtId="0" fontId="17" fillId="2" borderId="0" xfId="0" applyFont="1" applyFill="1" applyAlignment="1"/>
    <xf numFmtId="1" fontId="18" fillId="0" borderId="0" xfId="0" applyNumberFormat="1" applyFont="1" applyAlignment="1" applyProtection="1">
      <alignment horizontal="center"/>
      <protection locked="0"/>
    </xf>
    <xf numFmtId="0" fontId="19" fillId="0" borderId="0" xfId="0" applyFont="1" applyProtection="1"/>
    <xf numFmtId="1" fontId="13" fillId="0" borderId="0" xfId="0" applyNumberFormat="1" applyFont="1" applyProtection="1">
      <protection locked="0"/>
    </xf>
    <xf numFmtId="1" fontId="11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>
      <alignment vertical="center" wrapText="1"/>
    </xf>
    <xf numFmtId="0" fontId="11" fillId="2" borderId="0" xfId="0" applyFont="1" applyFill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" fontId="5" fillId="0" borderId="0" xfId="0" applyNumberFormat="1" applyFont="1" applyProtection="1">
      <protection locked="0"/>
    </xf>
    <xf numFmtId="1" fontId="12" fillId="0" borderId="0" xfId="0" applyNumberFormat="1" applyFont="1" applyFill="1" applyProtection="1">
      <protection locked="0"/>
    </xf>
    <xf numFmtId="1" fontId="5" fillId="0" borderId="0" xfId="0" applyNumberFormat="1" applyFont="1" applyFill="1" applyProtection="1">
      <protection locked="0"/>
    </xf>
    <xf numFmtId="1" fontId="5" fillId="0" borderId="0" xfId="0" applyNumberFormat="1" applyFont="1" applyFill="1" applyAlignment="1" applyProtection="1"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1" fontId="11" fillId="0" borderId="0" xfId="0" applyNumberFormat="1" applyFont="1" applyFill="1" applyProtection="1">
      <protection locked="0"/>
    </xf>
    <xf numFmtId="0" fontId="11" fillId="0" borderId="0" xfId="0" applyFont="1" applyFill="1" applyAlignment="1"/>
    <xf numFmtId="1" fontId="15" fillId="0" borderId="2" xfId="0" applyNumberFormat="1" applyFont="1" applyFill="1" applyBorder="1" applyAlignment="1">
      <alignment horizontal="center" vertical="center" wrapText="1"/>
    </xf>
    <xf numFmtId="9" fontId="20" fillId="2" borderId="2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4" borderId="2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textRotation="90"/>
    </xf>
    <xf numFmtId="179" fontId="8" fillId="3" borderId="1" xfId="7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9" fontId="8" fillId="2" borderId="1" xfId="7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79" fontId="8" fillId="0" borderId="1" xfId="7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vertical="center"/>
    </xf>
    <xf numFmtId="1" fontId="17" fillId="0" borderId="0" xfId="0" applyNumberFormat="1" applyFont="1" applyFill="1" applyAlignment="1"/>
    <xf numFmtId="0" fontId="9" fillId="0" borderId="0" xfId="0" applyFont="1" applyFill="1" applyAlignment="1"/>
    <xf numFmtId="0" fontId="14" fillId="6" borderId="0" xfId="0" applyFont="1" applyFill="1" applyProtection="1">
      <protection locked="0"/>
    </xf>
    <xf numFmtId="0" fontId="14" fillId="7" borderId="0" xfId="0" applyFont="1" applyFill="1" applyProtection="1">
      <protection locked="0"/>
    </xf>
    <xf numFmtId="0" fontId="14" fillId="8" borderId="0" xfId="0" applyFont="1" applyFill="1" applyProtection="1">
      <protection locked="0"/>
    </xf>
    <xf numFmtId="1" fontId="14" fillId="8" borderId="0" xfId="0" applyNumberFormat="1" applyFont="1" applyFill="1" applyProtection="1">
      <protection locked="0"/>
    </xf>
    <xf numFmtId="1" fontId="14" fillId="0" borderId="0" xfId="0" applyNumberFormat="1" applyFont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1" fontId="5" fillId="2" borderId="0" xfId="0" applyNumberFormat="1" applyFont="1" applyFill="1" applyProtection="1">
      <protection locked="0"/>
    </xf>
    <xf numFmtId="2" fontId="11" fillId="2" borderId="0" xfId="0" applyNumberFormat="1" applyFont="1" applyFill="1" applyAlignment="1" applyProtection="1">
      <alignment horizontal="center"/>
      <protection locked="0"/>
    </xf>
    <xf numFmtId="2" fontId="11" fillId="2" borderId="1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 wrapText="1"/>
      <protection locked="0"/>
    </xf>
    <xf numFmtId="0" fontId="11" fillId="2" borderId="10" xfId="0" applyFont="1" applyFill="1" applyBorder="1" applyAlignment="1" applyProtection="1">
      <alignment horizontal="left" wrapText="1"/>
      <protection locked="0"/>
    </xf>
    <xf numFmtId="1" fontId="11" fillId="2" borderId="0" xfId="0" applyNumberFormat="1" applyFont="1" applyFill="1" applyBorder="1" applyProtection="1">
      <protection locked="0"/>
    </xf>
    <xf numFmtId="1" fontId="11" fillId="2" borderId="0" xfId="0" applyNumberFormat="1" applyFont="1" applyFill="1" applyProtection="1">
      <protection locked="0"/>
    </xf>
    <xf numFmtId="1" fontId="5" fillId="2" borderId="0" xfId="0" applyNumberFormat="1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1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 vertical="center" textRotation="90"/>
    </xf>
    <xf numFmtId="9" fontId="20" fillId="5" borderId="2" xfId="0" applyNumberFormat="1" applyFont="1" applyFill="1" applyBorder="1" applyAlignment="1">
      <alignment horizontal="center" vertical="center"/>
    </xf>
    <xf numFmtId="9" fontId="20" fillId="2" borderId="7" xfId="0" applyNumberFormat="1" applyFont="1" applyFill="1" applyBorder="1" applyAlignment="1">
      <alignment horizontal="center" wrapText="1"/>
    </xf>
    <xf numFmtId="9" fontId="20" fillId="2" borderId="9" xfId="0" applyNumberFormat="1" applyFont="1" applyFill="1" applyBorder="1" applyAlignment="1">
      <alignment horizontal="center" wrapText="1"/>
    </xf>
    <xf numFmtId="0" fontId="20" fillId="5" borderId="3" xfId="0" applyFont="1" applyFill="1" applyBorder="1" applyAlignment="1">
      <alignment horizontal="center" vertical="center" textRotation="90"/>
    </xf>
    <xf numFmtId="0" fontId="20" fillId="5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79" fontId="8" fillId="0" borderId="1" xfId="7" applyNumberFormat="1" applyFont="1" applyFill="1" applyBorder="1" applyAlignment="1">
      <alignment horizontal="center" vertical="center"/>
    </xf>
    <xf numFmtId="179" fontId="8" fillId="2" borderId="1" xfId="7" applyNumberFormat="1" applyFont="1" applyFill="1" applyBorder="1" applyAlignment="1">
      <alignment horizontal="center" vertical="center"/>
    </xf>
    <xf numFmtId="1" fontId="14" fillId="7" borderId="0" xfId="0" applyNumberFormat="1" applyFont="1" applyFill="1" applyProtection="1">
      <protection locked="0"/>
    </xf>
    <xf numFmtId="1" fontId="11" fillId="2" borderId="11" xfId="0" applyNumberFormat="1" applyFont="1" applyFill="1" applyBorder="1" applyProtection="1">
      <protection locked="0"/>
    </xf>
    <xf numFmtId="1" fontId="11" fillId="2" borderId="12" xfId="0" applyNumberFormat="1" applyFont="1" applyFill="1" applyBorder="1" applyProtection="1"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0" fontId="5" fillId="0" borderId="17" xfId="0" applyFont="1" applyFill="1" applyBorder="1" applyAlignment="1" applyProtection="1">
      <alignment horizontal="left"/>
      <protection locked="0"/>
    </xf>
    <xf numFmtId="1" fontId="5" fillId="0" borderId="1" xfId="0" applyNumberFormat="1" applyFont="1" applyFill="1" applyBorder="1" applyProtection="1"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/>
      <protection locked="0"/>
    </xf>
    <xf numFmtId="1" fontId="5" fillId="0" borderId="14" xfId="0" applyNumberFormat="1" applyFont="1" applyFill="1" applyBorder="1" applyAlignment="1" applyProtection="1">
      <alignment horizontal="center"/>
      <protection locked="0"/>
    </xf>
    <xf numFmtId="1" fontId="5" fillId="0" borderId="16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horizontal="center"/>
      <protection locked="0"/>
    </xf>
    <xf numFmtId="1" fontId="12" fillId="0" borderId="16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/>
      <protection locked="0"/>
    </xf>
    <xf numFmtId="1" fontId="5" fillId="0" borderId="19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 applyProtection="1">
      <alignment horizontal="left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9" fontId="20" fillId="2" borderId="1" xfId="0" applyNumberFormat="1" applyFont="1" applyFill="1" applyBorder="1" applyAlignment="1">
      <alignment horizontal="center"/>
    </xf>
    <xf numFmtId="9" fontId="20" fillId="2" borderId="7" xfId="0" applyNumberFormat="1" applyFont="1" applyFill="1" applyBorder="1" applyAlignment="1">
      <alignment horizontal="center" vertical="center"/>
    </xf>
    <xf numFmtId="9" fontId="20" fillId="2" borderId="8" xfId="0" applyNumberFormat="1" applyFont="1" applyFill="1" applyBorder="1" applyAlignment="1">
      <alignment horizontal="center" vertical="center"/>
    </xf>
    <xf numFmtId="9" fontId="20" fillId="2" borderId="9" xfId="0" applyNumberFormat="1" applyFont="1" applyFill="1" applyBorder="1" applyAlignment="1">
      <alignment horizontal="center" vertical="center"/>
    </xf>
    <xf numFmtId="9" fontId="20" fillId="5" borderId="2" xfId="0" applyNumberFormat="1" applyFont="1" applyFill="1" applyBorder="1" applyAlignment="1">
      <alignment horizontal="center" vertical="center" textRotation="90"/>
    </xf>
    <xf numFmtId="9" fontId="20" fillId="5" borderId="7" xfId="0" applyNumberFormat="1" applyFont="1" applyFill="1" applyBorder="1" applyAlignment="1">
      <alignment horizontal="center" vertical="center" textRotation="90"/>
    </xf>
    <xf numFmtId="9" fontId="20" fillId="5" borderId="8" xfId="0" applyNumberFormat="1" applyFont="1" applyFill="1" applyBorder="1" applyAlignment="1">
      <alignment horizontal="center" vertical="center" textRotation="90"/>
    </xf>
    <xf numFmtId="0" fontId="20" fillId="5" borderId="3" xfId="0" applyFont="1" applyFill="1" applyBorder="1" applyAlignment="1">
      <alignment horizontal="center" vertical="center" wrapText="1"/>
    </xf>
    <xf numFmtId="9" fontId="20" fillId="2" borderId="3" xfId="0" applyNumberFormat="1" applyFont="1" applyFill="1" applyBorder="1" applyAlignment="1">
      <alignment horizontal="center" vertical="center" textRotation="90"/>
    </xf>
    <xf numFmtId="9" fontId="20" fillId="5" borderId="3" xfId="0" applyNumberFormat="1" applyFont="1" applyFill="1" applyBorder="1" applyAlignment="1">
      <alignment horizontal="center" vertical="center" textRotation="90" wrapText="1"/>
    </xf>
    <xf numFmtId="9" fontId="20" fillId="5" borderId="3" xfId="0" applyNumberFormat="1" applyFont="1" applyFill="1" applyBorder="1" applyAlignment="1">
      <alignment horizontal="center" vertical="center" textRotation="90"/>
    </xf>
    <xf numFmtId="0" fontId="20" fillId="2" borderId="1" xfId="0" applyFont="1" applyFill="1" applyBorder="1" applyAlignment="1">
      <alignment horizontal="center" vertical="center" textRotation="90"/>
    </xf>
    <xf numFmtId="0" fontId="20" fillId="2" borderId="1" xfId="0" applyFont="1" applyFill="1" applyBorder="1" applyAlignment="1">
      <alignment horizontal="center" vertical="center" textRotation="90" wrapText="1"/>
    </xf>
    <xf numFmtId="180" fontId="8" fillId="2" borderId="1" xfId="7" applyNumberFormat="1" applyFont="1" applyFill="1" applyBorder="1" applyAlignment="1">
      <alignment vertical="center" wrapText="1"/>
    </xf>
    <xf numFmtId="178" fontId="8" fillId="2" borderId="1" xfId="7" applyNumberFormat="1" applyFont="1" applyFill="1" applyBorder="1" applyAlignment="1">
      <alignment vertical="center" wrapText="1"/>
    </xf>
    <xf numFmtId="179" fontId="8" fillId="2" borderId="1" xfId="7" applyNumberFormat="1" applyFont="1" applyFill="1" applyBorder="1" applyAlignment="1">
      <alignment vertical="center"/>
    </xf>
    <xf numFmtId="10" fontId="17" fillId="0" borderId="0" xfId="0" applyNumberFormat="1" applyFont="1" applyFill="1" applyAlignment="1"/>
    <xf numFmtId="1" fontId="14" fillId="0" borderId="0" xfId="0" applyNumberFormat="1" applyFont="1" applyFill="1" applyProtection="1"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49" fontId="11" fillId="2" borderId="13" xfId="0" applyNumberFormat="1" applyFont="1" applyFill="1" applyBorder="1" applyAlignment="1" applyProtection="1">
      <alignment horizontal="center"/>
      <protection locked="0"/>
    </xf>
    <xf numFmtId="1" fontId="11" fillId="0" borderId="13" xfId="0" applyNumberFormat="1" applyFont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1" fontId="5" fillId="0" borderId="15" xfId="0" applyNumberFormat="1" applyFont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1" fontId="5" fillId="0" borderId="20" xfId="0" applyNumberFormat="1" applyFont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  <protection locked="0"/>
    </xf>
    <xf numFmtId="180" fontId="5" fillId="0" borderId="15" xfId="0" applyNumberFormat="1" applyFont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1" fontId="11" fillId="0" borderId="17" xfId="0" applyNumberFormat="1" applyFont="1" applyBorder="1" applyAlignment="1" applyProtection="1">
      <alignment horizontal="center"/>
      <protection locked="0"/>
    </xf>
    <xf numFmtId="0" fontId="5" fillId="0" borderId="17" xfId="0" applyFont="1" applyFill="1" applyBorder="1" applyProtection="1">
      <protection locked="0"/>
    </xf>
    <xf numFmtId="1" fontId="5" fillId="0" borderId="17" xfId="0" applyNumberFormat="1" applyFont="1" applyBorder="1" applyProtection="1">
      <protection locked="0"/>
    </xf>
    <xf numFmtId="180" fontId="5" fillId="0" borderId="17" xfId="0" applyNumberFormat="1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0" fontId="5" fillId="0" borderId="20" xfId="0" applyFont="1" applyFill="1" applyBorder="1" applyProtection="1">
      <protection locked="0"/>
    </xf>
    <xf numFmtId="1" fontId="5" fillId="0" borderId="20" xfId="0" applyNumberFormat="1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9" fontId="20" fillId="5" borderId="9" xfId="0" applyNumberFormat="1" applyFont="1" applyFill="1" applyBorder="1" applyAlignment="1">
      <alignment horizontal="center" vertical="center" textRotation="90"/>
    </xf>
    <xf numFmtId="2" fontId="20" fillId="0" borderId="7" xfId="0" applyNumberFormat="1" applyFont="1" applyFill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 vertical="center" wrapText="1"/>
    </xf>
    <xf numFmtId="9" fontId="20" fillId="5" borderId="1" xfId="0" applyNumberFormat="1" applyFont="1" applyFill="1" applyBorder="1" applyAlignment="1">
      <alignment horizontal="center" vertical="center" textRotation="90"/>
    </xf>
    <xf numFmtId="9" fontId="20" fillId="5" borderId="7" xfId="0" applyNumberFormat="1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vertical="center"/>
    </xf>
    <xf numFmtId="179" fontId="17" fillId="0" borderId="0" xfId="0" applyNumberFormat="1" applyFont="1" applyFill="1" applyAlignment="1"/>
    <xf numFmtId="49" fontId="11" fillId="0" borderId="13" xfId="0" applyNumberFormat="1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" fontId="11" fillId="0" borderId="23" xfId="0" applyNumberFormat="1" applyFont="1" applyBorder="1" applyAlignment="1" applyProtection="1">
      <alignment horizontal="center"/>
    </xf>
    <xf numFmtId="1" fontId="5" fillId="0" borderId="1" xfId="0" applyNumberFormat="1" applyFont="1" applyBorder="1" applyAlignment="1" applyProtection="1">
      <alignment horizontal="center" vertical="center"/>
    </xf>
    <xf numFmtId="1" fontId="11" fillId="2" borderId="24" xfId="0" applyNumberFormat="1" applyFont="1" applyFill="1" applyBorder="1" applyAlignment="1" applyProtection="1">
      <alignment horizontal="center" vertical="center"/>
    </xf>
    <xf numFmtId="1" fontId="11" fillId="2" borderId="22" xfId="0" applyNumberFormat="1" applyFont="1" applyFill="1" applyBorder="1" applyAlignment="1" applyProtection="1">
      <alignment horizontal="center" vertical="center"/>
    </xf>
    <xf numFmtId="180" fontId="11" fillId="0" borderId="23" xfId="0" applyNumberFormat="1" applyFont="1" applyBorder="1" applyAlignment="1" applyProtection="1">
      <alignment horizontal="center"/>
    </xf>
    <xf numFmtId="180" fontId="11" fillId="0" borderId="23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180" fontId="5" fillId="0" borderId="23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" fontId="11" fillId="0" borderId="1" xfId="0" applyNumberFormat="1" applyFont="1" applyBorder="1" applyProtection="1">
      <protection locked="0"/>
    </xf>
    <xf numFmtId="2" fontId="20" fillId="0" borderId="9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9" fontId="17" fillId="0" borderId="1" xfId="7" applyNumberFormat="1" applyFont="1" applyFill="1" applyBorder="1" applyAlignment="1">
      <alignment vertical="center"/>
    </xf>
    <xf numFmtId="0" fontId="21" fillId="0" borderId="0" xfId="14" applyFont="1"/>
    <xf numFmtId="0" fontId="22" fillId="0" borderId="0" xfId="14" applyFont="1" applyAlignment="1">
      <alignment horizontal="center"/>
    </xf>
    <xf numFmtId="0" fontId="23" fillId="0" borderId="0" xfId="14" applyFont="1" applyAlignment="1">
      <alignment horizontal="center"/>
    </xf>
    <xf numFmtId="0" fontId="22" fillId="0" borderId="0" xfId="14" applyFont="1"/>
    <xf numFmtId="0" fontId="22" fillId="0" borderId="0" xfId="14" applyFont="1" applyAlignment="1">
      <alignment horizontal="left"/>
    </xf>
    <xf numFmtId="0" fontId="22" fillId="2" borderId="0" xfId="14" applyFont="1" applyFill="1"/>
    <xf numFmtId="0" fontId="8" fillId="0" borderId="0" xfId="14" applyFont="1"/>
    <xf numFmtId="0" fontId="17" fillId="2" borderId="0" xfId="14" applyFont="1" applyFill="1" applyAlignment="1">
      <alignment horizontal="left"/>
    </xf>
    <xf numFmtId="0" fontId="17" fillId="2" borderId="0" xfId="14" applyFont="1" applyFill="1"/>
    <xf numFmtId="0" fontId="17" fillId="0" borderId="0" xfId="14" applyFont="1"/>
    <xf numFmtId="180" fontId="17" fillId="2" borderId="0" xfId="14" applyNumberFormat="1" applyFont="1" applyFill="1"/>
    <xf numFmtId="0" fontId="17" fillId="2" borderId="0" xfId="14" applyFont="1" applyFill="1" applyAlignment="1">
      <alignment horizontal="left" vertical="top"/>
    </xf>
    <xf numFmtId="0" fontId="17" fillId="2" borderId="0" xfId="14" applyFont="1" applyFill="1" applyAlignment="1">
      <alignment horizontal="center" vertical="top"/>
    </xf>
    <xf numFmtId="0" fontId="17" fillId="2" borderId="0" xfId="14" applyFont="1" applyFill="1" applyAlignment="1">
      <alignment wrapText="1"/>
    </xf>
    <xf numFmtId="0" fontId="24" fillId="0" borderId="0" xfId="14" applyAlignment="1">
      <alignment wrapText="1"/>
    </xf>
    <xf numFmtId="0" fontId="17" fillId="2" borderId="25" xfId="14" applyFont="1" applyFill="1" applyBorder="1" applyAlignment="1">
      <alignment horizontal="left"/>
    </xf>
    <xf numFmtId="0" fontId="17" fillId="2" borderId="25" xfId="14" applyFont="1" applyFill="1" applyBorder="1"/>
    <xf numFmtId="0" fontId="25" fillId="0" borderId="25" xfId="14" applyFont="1" applyBorder="1"/>
    <xf numFmtId="0" fontId="25" fillId="0" borderId="0" xfId="14" applyFont="1"/>
    <xf numFmtId="0" fontId="17" fillId="2" borderId="0" xfId="14" applyFont="1" applyFill="1" applyBorder="1" applyAlignment="1">
      <alignment horizontal="left"/>
    </xf>
    <xf numFmtId="0" fontId="17" fillId="2" borderId="0" xfId="14" applyFont="1" applyFill="1" applyBorder="1"/>
    <xf numFmtId="0" fontId="8" fillId="2" borderId="0" xfId="14" applyFont="1" applyFill="1" applyBorder="1" applyAlignment="1">
      <alignment horizontal="left"/>
    </xf>
    <xf numFmtId="0" fontId="8" fillId="2" borderId="0" xfId="14" applyFont="1" applyFill="1"/>
    <xf numFmtId="180" fontId="8" fillId="2" borderId="0" xfId="14" applyNumberFormat="1" applyFont="1" applyFill="1"/>
    <xf numFmtId="0" fontId="8" fillId="2" borderId="0" xfId="14" applyFont="1" applyFill="1" applyAlignment="1">
      <alignment horizontal="left"/>
    </xf>
    <xf numFmtId="0" fontId="17" fillId="2" borderId="0" xfId="14" applyFont="1" applyFill="1" applyAlignment="1"/>
    <xf numFmtId="0" fontId="23" fillId="0" borderId="0" xfId="14" applyFont="1" applyFill="1" applyAlignment="1">
      <alignment wrapText="1"/>
    </xf>
    <xf numFmtId="0" fontId="23" fillId="0" borderId="0" xfId="14" applyFont="1" applyFill="1" applyAlignment="1">
      <alignment horizontal="left" wrapText="1"/>
    </xf>
    <xf numFmtId="0" fontId="26" fillId="0" borderId="0" xfId="14" applyFont="1" applyFill="1" applyAlignment="1">
      <alignment wrapText="1"/>
    </xf>
    <xf numFmtId="0" fontId="26" fillId="2" borderId="0" xfId="14" applyFont="1" applyFill="1" applyAlignment="1">
      <alignment wrapText="1"/>
    </xf>
    <xf numFmtId="0" fontId="26" fillId="0" borderId="1" xfId="14" applyFont="1" applyFill="1" applyBorder="1" applyAlignment="1">
      <alignment horizontal="center" vertical="center" wrapText="1"/>
    </xf>
    <xf numFmtId="0" fontId="26" fillId="0" borderId="1" xfId="14" applyFont="1" applyFill="1" applyBorder="1" applyAlignment="1">
      <alignment horizontal="left" vertical="center" wrapText="1"/>
    </xf>
    <xf numFmtId="0" fontId="23" fillId="0" borderId="1" xfId="14" applyFont="1" applyFill="1" applyBorder="1" applyAlignment="1">
      <alignment horizontal="center" vertical="center" wrapText="1"/>
    </xf>
    <xf numFmtId="0" fontId="26" fillId="0" borderId="2" xfId="14" applyFont="1" applyFill="1" applyBorder="1" applyAlignment="1">
      <alignment horizontal="center" vertical="center" wrapText="1"/>
    </xf>
    <xf numFmtId="0" fontId="26" fillId="2" borderId="2" xfId="14" applyFont="1" applyFill="1" applyBorder="1" applyAlignment="1">
      <alignment horizontal="center" vertical="center" wrapText="1"/>
    </xf>
    <xf numFmtId="0" fontId="26" fillId="0" borderId="1" xfId="14" applyFont="1" applyFill="1" applyBorder="1" applyAlignment="1" applyProtection="1">
      <alignment horizontal="center" vertical="center" wrapText="1"/>
    </xf>
    <xf numFmtId="0" fontId="26" fillId="0" borderId="26" xfId="14" applyFont="1" applyFill="1" applyBorder="1" applyAlignment="1">
      <alignment horizontal="center" vertical="center" wrapText="1"/>
    </xf>
    <xf numFmtId="0" fontId="26" fillId="2" borderId="26" xfId="14" applyFont="1" applyFill="1" applyBorder="1" applyAlignment="1">
      <alignment horizontal="center" vertical="center" wrapText="1"/>
    </xf>
    <xf numFmtId="0" fontId="26" fillId="0" borderId="3" xfId="14" applyFont="1" applyFill="1" applyBorder="1" applyAlignment="1">
      <alignment horizontal="center" vertical="center" wrapText="1"/>
    </xf>
    <xf numFmtId="0" fontId="26" fillId="2" borderId="3" xfId="14" applyFont="1" applyFill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left" vertical="center" wrapText="1"/>
    </xf>
    <xf numFmtId="0" fontId="23" fillId="0" borderId="1" xfId="14" applyFont="1" applyFill="1" applyBorder="1" applyAlignment="1">
      <alignment horizontal="left" wrapText="1"/>
    </xf>
    <xf numFmtId="0" fontId="23" fillId="0" borderId="1" xfId="14" applyFont="1" applyFill="1" applyBorder="1" applyAlignment="1">
      <alignment horizontal="center" wrapText="1"/>
    </xf>
    <xf numFmtId="2" fontId="27" fillId="0" borderId="27" xfId="14" applyNumberFormat="1" applyFont="1" applyBorder="1" applyAlignment="1">
      <alignment horizontal="center" wrapText="1"/>
    </xf>
    <xf numFmtId="0" fontId="3" fillId="0" borderId="1" xfId="14" applyFont="1" applyFill="1" applyBorder="1" applyAlignment="1">
      <alignment horizontal="center" wrapText="1"/>
    </xf>
    <xf numFmtId="0" fontId="23" fillId="2" borderId="1" xfId="14" applyFont="1" applyFill="1" applyBorder="1" applyAlignment="1">
      <alignment horizontal="center" wrapText="1"/>
    </xf>
    <xf numFmtId="180" fontId="23" fillId="0" borderId="1" xfId="14" applyNumberFormat="1" applyFont="1" applyFill="1" applyBorder="1" applyAlignment="1">
      <alignment horizontal="center" wrapText="1"/>
    </xf>
    <xf numFmtId="180" fontId="23" fillId="2" borderId="1" xfId="14" applyNumberFormat="1" applyFont="1" applyFill="1" applyBorder="1" applyAlignment="1">
      <alignment horizontal="center" wrapText="1"/>
    </xf>
    <xf numFmtId="0" fontId="23" fillId="2" borderId="1" xfId="14" applyFont="1" applyFill="1" applyBorder="1" applyAlignment="1">
      <alignment horizontal="left" wrapText="1"/>
    </xf>
    <xf numFmtId="2" fontId="23" fillId="2" borderId="1" xfId="14" applyNumberFormat="1" applyFont="1" applyFill="1" applyBorder="1" applyAlignment="1">
      <alignment horizontal="center" wrapText="1"/>
    </xf>
    <xf numFmtId="0" fontId="23" fillId="4" borderId="1" xfId="14" applyFont="1" applyFill="1" applyBorder="1" applyAlignment="1">
      <alignment horizontal="center" wrapText="1"/>
    </xf>
    <xf numFmtId="0" fontId="23" fillId="0" borderId="26" xfId="14" applyFont="1" applyFill="1" applyBorder="1" applyAlignment="1">
      <alignment horizontal="left" wrapText="1"/>
    </xf>
    <xf numFmtId="0" fontId="23" fillId="0" borderId="1" xfId="14" applyFont="1" applyBorder="1" applyAlignment="1">
      <alignment horizontal="center" wrapText="1"/>
    </xf>
    <xf numFmtId="0" fontId="23" fillId="2" borderId="1" xfId="14" applyFont="1" applyFill="1" applyBorder="1" applyAlignment="1"/>
    <xf numFmtId="0" fontId="26" fillId="2" borderId="1" xfId="14" applyFont="1" applyFill="1" applyBorder="1" applyAlignment="1">
      <alignment horizontal="left"/>
    </xf>
    <xf numFmtId="0" fontId="23" fillId="2" borderId="0" xfId="14" applyFont="1" applyFill="1" applyAlignment="1">
      <alignment wrapText="1"/>
    </xf>
    <xf numFmtId="0" fontId="23" fillId="0" borderId="0" xfId="14" applyFont="1" applyFill="1" applyAlignment="1" applyProtection="1">
      <protection locked="0"/>
    </xf>
    <xf numFmtId="0" fontId="23" fillId="0" borderId="0" xfId="14" applyFont="1" applyAlignment="1" applyProtection="1">
      <alignment horizontal="left"/>
      <protection locked="0"/>
    </xf>
    <xf numFmtId="0" fontId="26" fillId="0" borderId="0" xfId="14" applyFont="1" applyBorder="1" applyAlignment="1" applyProtection="1">
      <protection locked="0"/>
    </xf>
    <xf numFmtId="0" fontId="26" fillId="0" borderId="0" xfId="14" applyFont="1" applyBorder="1" applyAlignment="1" applyProtection="1">
      <alignment horizontal="center"/>
      <protection locked="0"/>
    </xf>
    <xf numFmtId="0" fontId="26" fillId="2" borderId="0" xfId="14" applyFont="1" applyFill="1" applyBorder="1" applyAlignment="1" applyProtection="1">
      <protection locked="0"/>
    </xf>
    <xf numFmtId="0" fontId="26" fillId="0" borderId="0" xfId="14" applyFont="1" applyAlignment="1" applyProtection="1">
      <protection locked="0"/>
    </xf>
    <xf numFmtId="0" fontId="26" fillId="2" borderId="0" xfId="14" applyFont="1" applyFill="1" applyAlignment="1" applyProtection="1">
      <protection locked="0"/>
    </xf>
    <xf numFmtId="0" fontId="23" fillId="0" borderId="0" xfId="14" applyFont="1" applyFill="1" applyAlignment="1" applyProtection="1">
      <alignment wrapText="1"/>
      <protection locked="0"/>
    </xf>
    <xf numFmtId="0" fontId="23" fillId="0" borderId="0" xfId="14" applyFont="1" applyAlignment="1" applyProtection="1">
      <alignment horizontal="left" wrapText="1"/>
      <protection locked="0"/>
    </xf>
    <xf numFmtId="0" fontId="23" fillId="0" borderId="0" xfId="14" applyFont="1" applyAlignment="1" applyProtection="1">
      <alignment wrapText="1"/>
      <protection locked="0"/>
    </xf>
    <xf numFmtId="0" fontId="23" fillId="2" borderId="0" xfId="14" applyFont="1" applyFill="1" applyAlignment="1" applyProtection="1">
      <alignment wrapText="1"/>
      <protection locked="0"/>
    </xf>
    <xf numFmtId="4" fontId="17" fillId="0" borderId="0" xfId="14" applyNumberFormat="1" applyFont="1"/>
    <xf numFmtId="4" fontId="17" fillId="0" borderId="0" xfId="14" applyNumberFormat="1" applyFont="1" applyAlignment="1">
      <alignment horizontal="center"/>
    </xf>
    <xf numFmtId="0" fontId="28" fillId="0" borderId="0" xfId="14" applyFont="1" applyAlignment="1">
      <alignment horizontal="left" vertical="center" wrapText="1"/>
    </xf>
    <xf numFmtId="0" fontId="17" fillId="0" borderId="0" xfId="14" applyFont="1" applyAlignment="1">
      <alignment horizontal="center" wrapText="1"/>
    </xf>
    <xf numFmtId="4" fontId="8" fillId="0" borderId="0" xfId="14" applyNumberFormat="1" applyFont="1"/>
    <xf numFmtId="0" fontId="26" fillId="0" borderId="25" xfId="14" applyFont="1" applyFill="1" applyBorder="1" applyAlignment="1">
      <alignment horizontal="center" wrapText="1"/>
    </xf>
    <xf numFmtId="0" fontId="23" fillId="0" borderId="25" xfId="14" applyFont="1" applyFill="1" applyBorder="1" applyAlignment="1">
      <alignment wrapText="1"/>
    </xf>
    <xf numFmtId="0" fontId="26" fillId="0" borderId="4" xfId="14" applyFont="1" applyFill="1" applyBorder="1" applyAlignment="1">
      <alignment horizontal="center" vertical="center" wrapText="1"/>
    </xf>
    <xf numFmtId="0" fontId="26" fillId="0" borderId="6" xfId="14" applyFont="1" applyFill="1" applyBorder="1" applyAlignment="1">
      <alignment horizontal="center" vertical="center" wrapText="1"/>
    </xf>
    <xf numFmtId="0" fontId="23" fillId="0" borderId="7" xfId="14" applyFont="1" applyFill="1" applyBorder="1" applyAlignment="1">
      <alignment horizontal="center" vertical="center" wrapText="1"/>
    </xf>
    <xf numFmtId="0" fontId="26" fillId="0" borderId="28" xfId="14" applyFont="1" applyFill="1" applyBorder="1" applyAlignment="1">
      <alignment horizontal="center" vertical="center" wrapText="1"/>
    </xf>
    <xf numFmtId="0" fontId="26" fillId="0" borderId="29" xfId="14" applyFont="1" applyFill="1" applyBorder="1" applyAlignment="1">
      <alignment horizontal="center" vertical="center" wrapText="1"/>
    </xf>
    <xf numFmtId="0" fontId="26" fillId="0" borderId="30" xfId="14" applyFont="1" applyFill="1" applyBorder="1" applyAlignment="1">
      <alignment horizontal="center" vertical="center" wrapText="1"/>
    </xf>
    <xf numFmtId="9" fontId="26" fillId="0" borderId="1" xfId="14" applyNumberFormat="1" applyFont="1" applyFill="1" applyBorder="1" applyAlignment="1">
      <alignment horizontal="center" vertical="center" wrapText="1"/>
    </xf>
    <xf numFmtId="0" fontId="26" fillId="0" borderId="1" xfId="14" applyFont="1" applyFill="1" applyBorder="1" applyAlignment="1">
      <alignment vertical="center" wrapText="1"/>
    </xf>
    <xf numFmtId="2" fontId="23" fillId="0" borderId="1" xfId="14" applyNumberFormat="1" applyFont="1" applyFill="1" applyBorder="1" applyAlignment="1">
      <alignment horizontal="center" wrapText="1"/>
    </xf>
    <xf numFmtId="0" fontId="26" fillId="2" borderId="1" xfId="14" applyNumberFormat="1" applyFont="1" applyFill="1" applyBorder="1" applyAlignment="1">
      <alignment horizontal="right"/>
    </xf>
    <xf numFmtId="4" fontId="17" fillId="0" borderId="0" xfId="14" applyNumberFormat="1" applyFont="1" applyAlignment="1"/>
    <xf numFmtId="0" fontId="17" fillId="0" borderId="31" xfId="14" applyFont="1" applyBorder="1" applyAlignment="1">
      <alignment horizontal="right"/>
    </xf>
    <xf numFmtId="0" fontId="23" fillId="0" borderId="8" xfId="14" applyFont="1" applyFill="1" applyBorder="1" applyAlignment="1">
      <alignment horizontal="center" vertical="center" wrapText="1"/>
    </xf>
    <xf numFmtId="10" fontId="26" fillId="0" borderId="1" xfId="14" applyNumberFormat="1" applyFont="1" applyFill="1" applyBorder="1" applyAlignment="1">
      <alignment horizontal="center" vertical="center" wrapText="1"/>
    </xf>
    <xf numFmtId="0" fontId="23" fillId="0" borderId="0" xfId="14" applyFont="1" applyAlignment="1" applyProtection="1">
      <protection locked="0"/>
    </xf>
    <xf numFmtId="0" fontId="23" fillId="0" borderId="9" xfId="14" applyFont="1" applyFill="1" applyBorder="1" applyAlignment="1">
      <alignment horizontal="center" vertical="center" wrapText="1"/>
    </xf>
    <xf numFmtId="0" fontId="22" fillId="0" borderId="1" xfId="14" applyFont="1" applyBorder="1"/>
    <xf numFmtId="0" fontId="26" fillId="0" borderId="7" xfId="14" applyFont="1" applyFill="1" applyBorder="1" applyAlignment="1" applyProtection="1">
      <alignment horizontal="center" vertical="center" wrapText="1"/>
    </xf>
    <xf numFmtId="0" fontId="26" fillId="0" borderId="9" xfId="14" applyFont="1" applyFill="1" applyBorder="1" applyAlignment="1" applyProtection="1">
      <alignment horizontal="center" vertical="center" wrapText="1"/>
    </xf>
    <xf numFmtId="0" fontId="21" fillId="0" borderId="1" xfId="14" applyFont="1" applyBorder="1"/>
    <xf numFmtId="0" fontId="22" fillId="0" borderId="1" xfId="14" applyFont="1" applyBorder="1" applyAlignment="1">
      <alignment horizontal="center"/>
    </xf>
    <xf numFmtId="0" fontId="23" fillId="0" borderId="1" xfId="14" applyFont="1" applyBorder="1" applyAlignment="1">
      <alignment horizontal="center"/>
    </xf>
    <xf numFmtId="0" fontId="26" fillId="0" borderId="0" xfId="14" applyFont="1" applyFill="1" applyAlignment="1" applyProtection="1">
      <protection locked="0"/>
    </xf>
    <xf numFmtId="0" fontId="26" fillId="0" borderId="0" xfId="14" applyFont="1" applyFill="1" applyBorder="1" applyAlignment="1" applyProtection="1">
      <protection locked="0"/>
    </xf>
    <xf numFmtId="2" fontId="23" fillId="0" borderId="0" xfId="14" applyNumberFormat="1" applyFont="1" applyAlignment="1" applyProtection="1">
      <protection locked="0"/>
    </xf>
    <xf numFmtId="0" fontId="1" fillId="3" borderId="0" xfId="0" applyFont="1" applyFill="1" applyAlignment="1">
      <alignment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vertical="center"/>
    </xf>
    <xf numFmtId="0" fontId="29" fillId="0" borderId="0" xfId="0" applyFont="1" applyFill="1"/>
    <xf numFmtId="0" fontId="15" fillId="2" borderId="1" xfId="0" applyNumberFormat="1" applyFont="1" applyFill="1" applyBorder="1" applyAlignment="1">
      <alignment horizontal="right" vertical="center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2" fontId="15" fillId="2" borderId="1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 applyProtection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79" fontId="8" fillId="0" borderId="1" xfId="7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181" fontId="8" fillId="2" borderId="1" xfId="7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vertical="center"/>
    </xf>
  </cellXfs>
  <cellStyles count="52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Обычный 3" xfId="14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Финансовый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1051;&#1102;&#1073;&#1086;&#1074;&#1100;&#1070;&#1088;&#1100;&#1077;&#1074;&#1085;&#1072;\AppData\Roaming\kingsoft\office6\backup\Users\Gl.Economist\Downloads\Users\&#1072;&#1076;&#1084;&#1080;&#1085;\Downloads\Users\home\Desktop\&#1088;&#1072;&#1073;&#1086;&#1095;&#1080;&#1081;%20&#1089;&#1090;&#1086;&#1083;%202019\&#1090;&#1072;&#1088;&#1080;&#1092;%2001.01.19\&#1050;&#1091;&#1090;&#1087;&#1072;&#1085;&#1091;&#1083;&#1099;%202018&#1075;\&#1050;&#1091;&#1090;&#1087;&#1072;&#1085;&#1091;&#1083;&#1099;_&#1057;&#1064;_&#1090;&#1072;&#1088;&#1080;&#1092;&#1080;&#1082;&#1072;&#1094;&#1080;_&#1085;&#1072;_01.01.2018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акультативы"/>
      <sheetName val="показатели "/>
      <sheetName val="учителя"/>
      <sheetName val="Адмхоз"/>
      <sheetName val="нагрузка"/>
      <sheetName val="тетрадь,"/>
      <sheetName val="деление групп,"/>
      <sheetName val="обучение на дому"/>
      <sheetName val="мини_центр"/>
    </sheetNames>
    <sheetDataSet>
      <sheetData sheetId="0" refreshError="1"/>
      <sheetData sheetId="1" refreshError="1"/>
      <sheetData sheetId="2" refreshError="1"/>
      <sheetData sheetId="3" refreshError="1">
        <row r="42">
          <cell r="C42" t="str">
            <v>еден жуушы</v>
          </cell>
        </row>
        <row r="42">
          <cell r="E42">
            <v>2</v>
          </cell>
          <cell r="F42">
            <v>0</v>
          </cell>
        </row>
        <row r="43">
          <cell r="C43" t="str">
            <v>еден жуушы</v>
          </cell>
        </row>
        <row r="43">
          <cell r="E43">
            <v>2</v>
          </cell>
          <cell r="F43">
            <v>0</v>
          </cell>
        </row>
        <row r="60">
          <cell r="C60" t="str">
            <v>күзетші</v>
          </cell>
        </row>
        <row r="60">
          <cell r="E60">
            <v>2</v>
          </cell>
          <cell r="F60">
            <v>0</v>
          </cell>
        </row>
        <row r="61">
          <cell r="C61" t="str">
            <v>күзетші</v>
          </cell>
        </row>
        <row r="61">
          <cell r="E61">
            <v>2</v>
          </cell>
          <cell r="F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87"/>
  <sheetViews>
    <sheetView view="pageBreakPreview" zoomScale="53" zoomScaleNormal="100" topLeftCell="A17" workbookViewId="0">
      <pane xSplit="2" topLeftCell="C1" activePane="topRight" state="frozen"/>
      <selection/>
      <selection pane="topRight" activeCell="A78" sqref="$A78:$XFD78"/>
    </sheetView>
  </sheetViews>
  <sheetFormatPr defaultColWidth="9.14444444444444" defaultRowHeight="18.75"/>
  <cols>
    <col min="1" max="1" width="11.5666666666667" style="6" customWidth="1"/>
    <col min="2" max="2" width="41.5666666666667" style="6" customWidth="1"/>
    <col min="3" max="3" width="22.4222222222222" style="6" customWidth="1"/>
    <col min="4" max="4" width="22.1444444444444" style="6" customWidth="1"/>
    <col min="5" max="5" width="21.4222222222222" style="39" customWidth="1"/>
    <col min="6" max="6" width="10.1444444444444" style="39" customWidth="1"/>
    <col min="7" max="8" width="11.1444444444444" style="39" customWidth="1"/>
    <col min="9" max="9" width="28.5666666666667" style="64" customWidth="1"/>
    <col min="10" max="10" width="29.7111111111111" style="64" customWidth="1"/>
    <col min="11" max="11" width="35.1444444444444" style="64" customWidth="1"/>
    <col min="12" max="12" width="33" style="64" customWidth="1"/>
    <col min="13" max="13" width="13.7111111111111" style="6" customWidth="1"/>
    <col min="14" max="14" width="15" style="6" customWidth="1"/>
    <col min="15" max="15" width="13.7111111111111" style="6" customWidth="1"/>
    <col min="16" max="16" width="14.1444444444444" style="6" customWidth="1"/>
    <col min="17" max="17" width="15.1444444444444" style="6" customWidth="1"/>
    <col min="18" max="18" width="20" style="6" customWidth="1"/>
    <col min="19" max="19" width="21.5666666666667" style="6" customWidth="1"/>
    <col min="20" max="20" width="26.2888888888889" style="6" customWidth="1"/>
    <col min="21" max="21" width="22.5666666666667" style="6" customWidth="1"/>
    <col min="22" max="22" width="20" style="6" customWidth="1"/>
    <col min="23" max="23" width="22.1444444444444" style="6" customWidth="1"/>
    <col min="24" max="24" width="22.4222222222222" style="6" customWidth="1"/>
    <col min="25" max="25" width="30.7111111111111" style="6" customWidth="1"/>
    <col min="26" max="26" width="40.2888888888889" style="6" customWidth="1"/>
    <col min="27" max="27" width="18" style="6" customWidth="1"/>
    <col min="28" max="28" width="18.5666666666667" style="6" customWidth="1"/>
    <col min="29" max="29" width="29.7111111111111" style="6" customWidth="1"/>
    <col min="30" max="30" width="13.2888888888889" style="6" customWidth="1"/>
    <col min="31" max="31" width="17.7111111111111" style="6" customWidth="1"/>
    <col min="32" max="32" width="16.7111111111111" style="6" customWidth="1"/>
    <col min="33" max="33" width="18.5666666666667" style="6" customWidth="1"/>
    <col min="34" max="34" width="22.1444444444444" style="6" customWidth="1"/>
    <col min="35" max="35" width="26.5666666666667" style="6" customWidth="1"/>
    <col min="36" max="36" width="20.4222222222222" style="6" customWidth="1"/>
    <col min="37" max="37" width="22.8555555555556" style="6" customWidth="1"/>
    <col min="38" max="38" width="15.1444444444444" style="6" customWidth="1"/>
    <col min="39" max="39" width="20.8555555555556" style="6" customWidth="1"/>
    <col min="40" max="40" width="21.1444444444444" style="6" customWidth="1"/>
    <col min="41" max="41" width="15.7111111111111" style="6" customWidth="1"/>
    <col min="42" max="42" width="15.1444444444444" style="6" customWidth="1"/>
    <col min="43" max="45" width="14.4222222222222" style="6" customWidth="1"/>
    <col min="46" max="46" width="15.7111111111111" style="6" customWidth="1"/>
    <col min="47" max="47" width="16.1444444444444" style="6" customWidth="1"/>
    <col min="48" max="48" width="18.2888888888889" style="6" customWidth="1"/>
    <col min="49" max="16384" width="9.14444444444444" style="6"/>
  </cols>
  <sheetData>
    <row r="1" s="115" customFormat="1" ht="33.75" customHeight="1" spans="1:42">
      <c r="A1" s="120"/>
      <c r="B1" s="120"/>
      <c r="C1" s="120"/>
      <c r="D1" s="120"/>
      <c r="E1" s="120"/>
      <c r="F1" s="120"/>
      <c r="G1" s="120"/>
      <c r="H1" s="120"/>
      <c r="I1" s="160"/>
      <c r="J1" s="120"/>
      <c r="K1" s="161"/>
      <c r="L1" s="161"/>
      <c r="M1" s="120"/>
      <c r="P1" s="162"/>
      <c r="R1" s="120"/>
      <c r="S1" s="196"/>
      <c r="T1" s="120"/>
      <c r="U1" s="197"/>
      <c r="V1" s="198"/>
      <c r="W1" s="199"/>
      <c r="X1" s="200"/>
      <c r="Y1" s="200"/>
      <c r="Z1" s="225"/>
      <c r="AA1" s="225"/>
      <c r="AB1" s="200"/>
      <c r="AC1" s="200"/>
      <c r="AD1" s="200"/>
      <c r="AE1" s="200"/>
      <c r="AF1" s="200"/>
      <c r="AG1" s="200"/>
      <c r="AH1" s="270"/>
      <c r="AI1" s="200"/>
      <c r="AJ1" s="200"/>
      <c r="AK1" s="200"/>
      <c r="AL1" s="120"/>
      <c r="AM1" s="120"/>
      <c r="AN1" s="120"/>
      <c r="AO1" s="200"/>
      <c r="AP1" s="120"/>
    </row>
    <row r="2" s="115" customFormat="1" ht="33" customHeight="1" spans="1:46">
      <c r="A2" s="120"/>
      <c r="B2" s="121" t="s">
        <v>0</v>
      </c>
      <c r="C2" s="121"/>
      <c r="D2" s="121"/>
      <c r="E2" s="122"/>
      <c r="F2" s="122"/>
      <c r="G2" s="121" t="s">
        <v>0</v>
      </c>
      <c r="H2" s="121"/>
      <c r="I2" s="121"/>
      <c r="J2" s="127"/>
      <c r="K2" s="127"/>
      <c r="L2" s="127"/>
      <c r="M2" s="127"/>
      <c r="N2" s="127"/>
      <c r="O2" s="127"/>
      <c r="P2" s="127"/>
      <c r="Q2" s="201" t="s">
        <v>1</v>
      </c>
      <c r="R2" s="135"/>
      <c r="S2" s="127"/>
      <c r="T2" s="127"/>
      <c r="U2" s="202"/>
      <c r="V2" s="127"/>
      <c r="W2" s="127"/>
      <c r="X2" s="202"/>
      <c r="Y2" s="226" t="s">
        <v>2</v>
      </c>
      <c r="Z2" s="227"/>
      <c r="AA2" s="228" t="s">
        <v>3</v>
      </c>
      <c r="AB2" s="228"/>
      <c r="AC2" s="228"/>
      <c r="AD2" s="228"/>
      <c r="AE2" s="228"/>
      <c r="AF2" s="228"/>
      <c r="AG2" s="228"/>
      <c r="AH2" s="271"/>
      <c r="AI2" s="228"/>
      <c r="AJ2" s="228"/>
      <c r="AK2" s="228"/>
      <c r="AL2" s="272" t="s">
        <v>4</v>
      </c>
      <c r="AM2" s="272" t="s">
        <v>5</v>
      </c>
      <c r="AN2" s="273" t="s">
        <v>6</v>
      </c>
      <c r="AO2" s="307" t="s">
        <v>7</v>
      </c>
      <c r="AP2" s="308" t="s">
        <v>8</v>
      </c>
      <c r="AQ2" s="128"/>
      <c r="AR2" s="128"/>
      <c r="AS2" s="128"/>
      <c r="AT2" s="128"/>
    </row>
    <row r="3" s="115" customFormat="1" ht="31.5" customHeight="1" spans="1:46">
      <c r="A3" s="120"/>
      <c r="B3" s="122"/>
      <c r="C3" s="122"/>
      <c r="D3" s="122"/>
      <c r="E3" s="122"/>
      <c r="F3" s="122"/>
      <c r="G3" s="122"/>
      <c r="H3" s="122"/>
      <c r="I3" s="122"/>
      <c r="J3" s="127"/>
      <c r="K3" s="127"/>
      <c r="L3" s="127"/>
      <c r="M3" s="163"/>
      <c r="N3" s="127"/>
      <c r="O3" s="127"/>
      <c r="P3" s="127"/>
      <c r="Q3" s="127" t="s">
        <v>9</v>
      </c>
      <c r="R3" s="202"/>
      <c r="S3" s="127"/>
      <c r="T3" s="203" t="s">
        <v>10</v>
      </c>
      <c r="U3" s="203"/>
      <c r="V3" s="203"/>
      <c r="W3" s="203"/>
      <c r="X3" s="204"/>
      <c r="Y3" s="229">
        <v>1</v>
      </c>
      <c r="Z3" s="229"/>
      <c r="AA3" s="230" t="s">
        <v>11</v>
      </c>
      <c r="AB3" s="231"/>
      <c r="AC3" s="231"/>
      <c r="AD3" s="231"/>
      <c r="AE3" s="231"/>
      <c r="AF3" s="231"/>
      <c r="AG3" s="231"/>
      <c r="AH3" s="274"/>
      <c r="AI3" s="231"/>
      <c r="AJ3" s="231"/>
      <c r="AK3" s="231"/>
      <c r="AL3" s="275"/>
      <c r="AM3" s="275">
        <v>8</v>
      </c>
      <c r="AN3" s="276">
        <v>10</v>
      </c>
      <c r="AO3" s="309">
        <v>4</v>
      </c>
      <c r="AP3" s="310">
        <f>AO3+AN3+AM3</f>
        <v>22</v>
      </c>
      <c r="AQ3" s="128"/>
      <c r="AR3" s="128"/>
      <c r="AS3" s="128"/>
      <c r="AT3" s="128"/>
    </row>
    <row r="4" s="115" customFormat="1" ht="32.25" customHeight="1" spans="1:46">
      <c r="A4" s="120"/>
      <c r="B4" s="122"/>
      <c r="C4" s="122"/>
      <c r="D4" s="122"/>
      <c r="E4" s="122"/>
      <c r="F4" s="122"/>
      <c r="G4" s="123"/>
      <c r="H4" s="123"/>
      <c r="I4" s="123"/>
      <c r="J4" s="122"/>
      <c r="K4" s="127"/>
      <c r="L4" s="127"/>
      <c r="M4" s="163"/>
      <c r="N4" s="127"/>
      <c r="O4" s="127"/>
      <c r="P4" s="127"/>
      <c r="Q4" s="127" t="s">
        <v>12</v>
      </c>
      <c r="R4" s="202"/>
      <c r="S4" s="127"/>
      <c r="T4" s="127"/>
      <c r="U4" s="127"/>
      <c r="V4" s="127"/>
      <c r="W4" s="127"/>
      <c r="X4" s="202"/>
      <c r="Y4" s="229">
        <v>2</v>
      </c>
      <c r="Z4" s="229"/>
      <c r="AA4" s="232" t="s">
        <v>13</v>
      </c>
      <c r="AB4" s="233"/>
      <c r="AC4" s="233"/>
      <c r="AD4" s="233"/>
      <c r="AE4" s="233"/>
      <c r="AF4" s="233"/>
      <c r="AG4" s="233"/>
      <c r="AH4" s="241"/>
      <c r="AI4" s="233"/>
      <c r="AJ4" s="233"/>
      <c r="AK4" s="233"/>
      <c r="AL4" s="277"/>
      <c r="AM4" s="277">
        <v>8</v>
      </c>
      <c r="AN4" s="278">
        <v>9</v>
      </c>
      <c r="AO4" s="311">
        <v>3</v>
      </c>
      <c r="AP4" s="312">
        <f>SUM(AL4:AO4)</f>
        <v>20</v>
      </c>
      <c r="AQ4" s="128"/>
      <c r="AR4" s="128"/>
      <c r="AS4" s="128"/>
      <c r="AT4" s="128"/>
    </row>
    <row r="5" s="115" customFormat="1" ht="78.75" customHeight="1" spans="1:46">
      <c r="A5" s="120"/>
      <c r="B5" s="124" t="s">
        <v>14</v>
      </c>
      <c r="C5" s="124"/>
      <c r="D5" s="124"/>
      <c r="E5" s="124"/>
      <c r="F5" s="124"/>
      <c r="G5" s="429" t="s">
        <v>15</v>
      </c>
      <c r="H5" s="429"/>
      <c r="I5" s="429"/>
      <c r="J5" s="429"/>
      <c r="K5" s="429"/>
      <c r="L5" s="429"/>
      <c r="M5" s="164"/>
      <c r="N5" s="164"/>
      <c r="O5" s="164"/>
      <c r="P5" s="164"/>
      <c r="Q5" s="205" t="s">
        <v>16</v>
      </c>
      <c r="R5" s="205"/>
      <c r="S5" s="205"/>
      <c r="T5" s="205"/>
      <c r="U5" s="205"/>
      <c r="V5" s="205"/>
      <c r="W5" s="205"/>
      <c r="X5" s="206"/>
      <c r="Y5" s="229">
        <v>3</v>
      </c>
      <c r="Z5" s="229"/>
      <c r="AA5" s="232" t="s">
        <v>17</v>
      </c>
      <c r="AB5" s="233"/>
      <c r="AC5" s="233"/>
      <c r="AD5" s="233"/>
      <c r="AE5" s="233"/>
      <c r="AF5" s="233"/>
      <c r="AG5" s="233"/>
      <c r="AH5" s="241"/>
      <c r="AI5" s="233"/>
      <c r="AJ5" s="233"/>
      <c r="AK5" s="233"/>
      <c r="AL5" s="279"/>
      <c r="AM5" s="279">
        <v>102</v>
      </c>
      <c r="AN5" s="280">
        <v>89</v>
      </c>
      <c r="AO5" s="313">
        <v>7</v>
      </c>
      <c r="AP5" s="314">
        <f>AO5+AN5+AM5</f>
        <v>198</v>
      </c>
      <c r="AQ5" s="128"/>
      <c r="AR5" s="128"/>
      <c r="AS5" s="128"/>
      <c r="AT5" s="128"/>
    </row>
    <row r="6" s="115" customFormat="1" ht="48.75" customHeight="1" spans="1:46">
      <c r="A6" s="120"/>
      <c r="B6" s="122"/>
      <c r="C6" s="122"/>
      <c r="D6" s="122"/>
      <c r="E6" s="122"/>
      <c r="F6" s="122"/>
      <c r="G6" s="122"/>
      <c r="H6" s="122"/>
      <c r="I6" s="122"/>
      <c r="J6" s="127"/>
      <c r="K6" s="165"/>
      <c r="L6" s="165"/>
      <c r="M6" s="165"/>
      <c r="N6" s="165"/>
      <c r="O6" s="127"/>
      <c r="P6" s="127"/>
      <c r="Q6" s="207" t="s">
        <v>18</v>
      </c>
      <c r="R6" s="207"/>
      <c r="S6" s="207"/>
      <c r="T6" s="208" t="s">
        <v>19</v>
      </c>
      <c r="V6" s="127"/>
      <c r="W6" s="127"/>
      <c r="X6" s="209"/>
      <c r="Y6" s="234">
        <v>4</v>
      </c>
      <c r="Z6" s="234"/>
      <c r="AA6" s="235" t="s">
        <v>20</v>
      </c>
      <c r="AB6" s="236"/>
      <c r="AC6" s="236"/>
      <c r="AD6" s="236"/>
      <c r="AE6" s="236"/>
      <c r="AF6" s="236"/>
      <c r="AG6" s="236"/>
      <c r="AH6" s="281"/>
      <c r="AI6" s="236"/>
      <c r="AJ6" s="236"/>
      <c r="AK6" s="236"/>
      <c r="AL6" s="282"/>
      <c r="AM6" s="282">
        <v>206</v>
      </c>
      <c r="AN6" s="283">
        <v>339</v>
      </c>
      <c r="AO6" s="315">
        <v>111</v>
      </c>
      <c r="AP6" s="316">
        <f>AL6+AM6+AN6+AO6</f>
        <v>656</v>
      </c>
      <c r="AQ6" s="128"/>
      <c r="AR6" s="128"/>
      <c r="AS6" s="128"/>
      <c r="AT6" s="128"/>
    </row>
    <row r="7" s="115" customFormat="1" ht="59.25" customHeight="1" spans="1:46">
      <c r="A7" s="120"/>
      <c r="B7" s="430" t="s">
        <v>21</v>
      </c>
      <c r="C7" s="430"/>
      <c r="D7" s="430"/>
      <c r="E7" s="430"/>
      <c r="F7" s="430"/>
      <c r="G7" s="431" t="s">
        <v>22</v>
      </c>
      <c r="H7" s="431"/>
      <c r="I7" s="431"/>
      <c r="J7" s="431"/>
      <c r="K7" s="431"/>
      <c r="L7" s="431"/>
      <c r="M7" s="431"/>
      <c r="N7" s="431"/>
      <c r="O7" s="431"/>
      <c r="P7" s="431"/>
      <c r="Q7" s="205"/>
      <c r="R7" s="205"/>
      <c r="S7" s="205"/>
      <c r="T7" s="205"/>
      <c r="U7" s="205"/>
      <c r="V7" s="205"/>
      <c r="W7" s="205"/>
      <c r="X7" s="206"/>
      <c r="Y7" s="234"/>
      <c r="Z7" s="234"/>
      <c r="AA7" s="235"/>
      <c r="AB7" s="236"/>
      <c r="AC7" s="236"/>
      <c r="AD7" s="236"/>
      <c r="AE7" s="236"/>
      <c r="AF7" s="236"/>
      <c r="AG7" s="236"/>
      <c r="AH7" s="281"/>
      <c r="AI7" s="236"/>
      <c r="AJ7" s="236"/>
      <c r="AK7" s="236"/>
      <c r="AL7" s="282"/>
      <c r="AM7" s="282"/>
      <c r="AN7" s="283"/>
      <c r="AO7" s="315"/>
      <c r="AP7" s="317"/>
      <c r="AQ7" s="128"/>
      <c r="AR7" s="128"/>
      <c r="AS7" s="128"/>
      <c r="AT7" s="128"/>
    </row>
    <row r="8" s="115" customFormat="1" ht="27" customHeight="1" spans="1:46">
      <c r="A8" s="120"/>
      <c r="B8" s="122"/>
      <c r="C8" s="122"/>
      <c r="D8" s="122"/>
      <c r="E8" s="122"/>
      <c r="F8" s="122"/>
      <c r="G8" s="123"/>
      <c r="H8" s="123"/>
      <c r="I8" s="166"/>
      <c r="J8" s="127"/>
      <c r="K8" s="127"/>
      <c r="L8" s="127"/>
      <c r="M8" s="127"/>
      <c r="N8" s="127"/>
      <c r="O8" s="127"/>
      <c r="P8" s="127"/>
      <c r="Q8" s="207"/>
      <c r="R8" s="207"/>
      <c r="S8" s="207"/>
      <c r="T8" s="127"/>
      <c r="U8" s="208"/>
      <c r="V8" s="127"/>
      <c r="W8" s="127"/>
      <c r="X8" s="209"/>
      <c r="Y8" s="237"/>
      <c r="Z8" s="237"/>
      <c r="AA8" s="238" t="s">
        <v>23</v>
      </c>
      <c r="AB8" s="238"/>
      <c r="AC8" s="238"/>
      <c r="AD8" s="238"/>
      <c r="AE8" s="238"/>
      <c r="AF8" s="238"/>
      <c r="AG8" s="238"/>
      <c r="AH8" s="284"/>
      <c r="AI8" s="238"/>
      <c r="AJ8" s="238"/>
      <c r="AK8" s="238"/>
      <c r="AL8" s="275"/>
      <c r="AM8" s="275"/>
      <c r="AN8" s="285"/>
      <c r="AO8" s="309"/>
      <c r="AP8" s="318">
        <f>AO8+AN8+AM8</f>
        <v>0</v>
      </c>
      <c r="AQ8" s="128"/>
      <c r="AR8" s="128"/>
      <c r="AS8" s="128"/>
      <c r="AT8" s="128"/>
    </row>
    <row r="9" s="115" customFormat="1" ht="27" customHeight="1" spans="1:46">
      <c r="A9" s="120"/>
      <c r="B9" s="122"/>
      <c r="C9" s="122"/>
      <c r="D9" s="122"/>
      <c r="E9" s="122"/>
      <c r="F9" s="127"/>
      <c r="G9" s="127"/>
      <c r="H9" s="127"/>
      <c r="I9" s="127"/>
      <c r="J9" s="127"/>
      <c r="K9" s="127"/>
      <c r="L9" s="127"/>
      <c r="M9" s="127"/>
      <c r="N9" s="127"/>
      <c r="O9" s="122"/>
      <c r="P9" s="167"/>
      <c r="Q9" s="210"/>
      <c r="R9" s="211"/>
      <c r="S9" s="122"/>
      <c r="T9" s="122"/>
      <c r="U9" s="127"/>
      <c r="V9" s="127"/>
      <c r="W9" s="127"/>
      <c r="X9" s="202"/>
      <c r="Y9" s="229" t="s">
        <v>24</v>
      </c>
      <c r="Z9" s="229"/>
      <c r="AA9" s="232" t="s">
        <v>25</v>
      </c>
      <c r="AB9" s="233"/>
      <c r="AC9" s="233"/>
      <c r="AD9" s="233"/>
      <c r="AE9" s="233"/>
      <c r="AF9" s="233"/>
      <c r="AG9" s="233"/>
      <c r="AH9" s="241"/>
      <c r="AI9" s="233"/>
      <c r="AJ9" s="233"/>
      <c r="AK9" s="233"/>
      <c r="AL9" s="277"/>
      <c r="AM9" s="277">
        <v>203</v>
      </c>
      <c r="AN9" s="278">
        <v>324</v>
      </c>
      <c r="AO9" s="311">
        <v>102</v>
      </c>
      <c r="AP9" s="319">
        <f>AO9+AN9+AM9</f>
        <v>629</v>
      </c>
      <c r="AQ9" s="128"/>
      <c r="AR9" s="128"/>
      <c r="AS9" s="128"/>
      <c r="AT9" s="128"/>
    </row>
    <row r="10" s="115" customFormat="1" ht="28.5" customHeight="1" spans="1:46">
      <c r="A10" s="120"/>
      <c r="B10" s="122"/>
      <c r="C10" s="122"/>
      <c r="D10" s="122"/>
      <c r="E10" s="122"/>
      <c r="F10" s="128"/>
      <c r="G10" s="128"/>
      <c r="H10" s="128"/>
      <c r="I10" s="128"/>
      <c r="J10" s="128"/>
      <c r="K10" s="128"/>
      <c r="L10" s="128"/>
      <c r="M10" s="128"/>
      <c r="N10" s="134"/>
      <c r="O10" s="130"/>
      <c r="P10" s="168"/>
      <c r="Q10" s="130"/>
      <c r="R10" s="130"/>
      <c r="S10" s="130"/>
      <c r="T10" s="134"/>
      <c r="U10" s="134"/>
      <c r="V10" s="134"/>
      <c r="W10" s="169"/>
      <c r="X10" s="169"/>
      <c r="Y10" s="239" t="s">
        <v>26</v>
      </c>
      <c r="Z10" s="239"/>
      <c r="AA10" s="240" t="s">
        <v>27</v>
      </c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86"/>
      <c r="AM10" s="286">
        <v>3</v>
      </c>
      <c r="AN10" s="286">
        <v>15</v>
      </c>
      <c r="AO10" s="286">
        <v>9</v>
      </c>
      <c r="AP10" s="319">
        <f>AO10+AN10+AM10</f>
        <v>27</v>
      </c>
      <c r="AQ10" s="128"/>
      <c r="AR10" s="128"/>
      <c r="AS10" s="128"/>
      <c r="AT10" s="128"/>
    </row>
    <row r="11" s="115" customFormat="1" ht="33.75" customHeight="1" spans="1:46">
      <c r="A11" s="120"/>
      <c r="B11" s="122"/>
      <c r="C11" s="122"/>
      <c r="D11" s="122"/>
      <c r="E11" s="122"/>
      <c r="F11" s="128"/>
      <c r="G11" s="128"/>
      <c r="H11" s="128"/>
      <c r="I11" s="128"/>
      <c r="J11" s="128"/>
      <c r="K11" s="128"/>
      <c r="L11" s="128"/>
      <c r="M11" s="128"/>
      <c r="N11" s="134"/>
      <c r="O11" s="130"/>
      <c r="P11" s="168"/>
      <c r="Q11" s="130"/>
      <c r="R11" s="130"/>
      <c r="S11" s="130"/>
      <c r="T11" s="130"/>
      <c r="U11" s="130"/>
      <c r="V11" s="130"/>
      <c r="W11" s="169"/>
      <c r="X11" s="169"/>
      <c r="Y11" s="242"/>
      <c r="Z11" s="242"/>
      <c r="AA11" s="243" t="s">
        <v>8</v>
      </c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>
        <f>SUBTOTAL(9,AM9:AM10)</f>
        <v>206</v>
      </c>
      <c r="AN11" s="287">
        <f>SUBTOTAL(9,AN9:AN10)</f>
        <v>339</v>
      </c>
      <c r="AO11" s="320">
        <f>SUBTOTAL(9,AO9:AO10)</f>
        <v>111</v>
      </c>
      <c r="AP11" s="319">
        <f>SUBTOTAL(9,AP9:AP10)</f>
        <v>656</v>
      </c>
      <c r="AQ11" s="128"/>
      <c r="AR11" s="128"/>
      <c r="AS11" s="128"/>
      <c r="AT11" s="128"/>
    </row>
    <row r="12" s="115" customFormat="1" ht="20.25" customHeight="1" spans="1:46">
      <c r="A12" s="120"/>
      <c r="B12" s="122"/>
      <c r="C12" s="122"/>
      <c r="D12" s="122"/>
      <c r="E12" s="129"/>
      <c r="F12" s="128"/>
      <c r="G12" s="128"/>
      <c r="H12" s="128"/>
      <c r="I12" s="128"/>
      <c r="J12" s="128"/>
      <c r="K12" s="128"/>
      <c r="L12" s="128"/>
      <c r="M12" s="128"/>
      <c r="N12" s="130"/>
      <c r="O12" s="130"/>
      <c r="P12" s="169"/>
      <c r="Q12" s="134"/>
      <c r="R12" s="130"/>
      <c r="S12" s="130"/>
      <c r="T12" s="130"/>
      <c r="U12" s="130"/>
      <c r="V12" s="130"/>
      <c r="W12" s="169"/>
      <c r="X12" s="169"/>
      <c r="Y12" s="239">
        <v>1</v>
      </c>
      <c r="Z12" s="239"/>
      <c r="AA12" s="240" t="s">
        <v>28</v>
      </c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88"/>
      <c r="AM12" s="288"/>
      <c r="AN12" s="289"/>
      <c r="AO12" s="291"/>
      <c r="AP12" s="321">
        <f>SUM(AM12:AO12)</f>
        <v>0</v>
      </c>
      <c r="AQ12" s="128"/>
      <c r="AR12" s="128"/>
      <c r="AS12" s="128"/>
      <c r="AT12" s="128"/>
    </row>
    <row r="13" s="115" customFormat="1" ht="24.75" customHeight="1" spans="1:46">
      <c r="A13" s="120"/>
      <c r="B13" s="122"/>
      <c r="C13" s="122"/>
      <c r="D13" s="122"/>
      <c r="E13" s="122"/>
      <c r="F13" s="128"/>
      <c r="G13" s="128"/>
      <c r="H13" s="128"/>
      <c r="I13" s="128"/>
      <c r="J13" s="128"/>
      <c r="K13" s="128"/>
      <c r="L13" s="128"/>
      <c r="M13" s="128"/>
      <c r="N13" s="134"/>
      <c r="O13" s="134"/>
      <c r="P13" s="169"/>
      <c r="Q13" s="134"/>
      <c r="R13" s="134"/>
      <c r="S13" s="134"/>
      <c r="T13" s="134"/>
      <c r="U13" s="134"/>
      <c r="V13" s="134"/>
      <c r="W13" s="169"/>
      <c r="X13" s="169"/>
      <c r="Y13" s="239">
        <v>2</v>
      </c>
      <c r="Z13" s="239"/>
      <c r="AA13" s="240" t="s">
        <v>29</v>
      </c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88"/>
      <c r="AM13" s="288">
        <v>2</v>
      </c>
      <c r="AN13" s="289"/>
      <c r="AO13" s="291"/>
      <c r="AP13" s="321">
        <f t="shared" ref="AP13:AP31" si="0">SUM(AM13:AO13)</f>
        <v>2</v>
      </c>
      <c r="AQ13" s="128"/>
      <c r="AR13" s="128"/>
      <c r="AS13" s="128"/>
      <c r="AT13" s="128"/>
    </row>
    <row r="14" s="115" customFormat="1" ht="25.5" customHeight="1" spans="1:46">
      <c r="A14" s="120"/>
      <c r="B14" s="122"/>
      <c r="C14" s="122"/>
      <c r="D14" s="122"/>
      <c r="E14" s="122"/>
      <c r="F14" s="130"/>
      <c r="G14" s="130"/>
      <c r="H14" s="130"/>
      <c r="I14" s="130"/>
      <c r="J14" s="130"/>
      <c r="K14" s="130"/>
      <c r="L14" s="130"/>
      <c r="M14" s="131"/>
      <c r="N14" s="134"/>
      <c r="O14" s="131"/>
      <c r="P14" s="135"/>
      <c r="Q14" s="131"/>
      <c r="R14" s="131"/>
      <c r="S14" s="131"/>
      <c r="T14" s="134"/>
      <c r="U14" s="134"/>
      <c r="V14" s="134"/>
      <c r="W14" s="169"/>
      <c r="X14" s="169"/>
      <c r="Y14" s="239">
        <v>3</v>
      </c>
      <c r="Z14" s="239"/>
      <c r="AA14" s="240" t="s">
        <v>30</v>
      </c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88"/>
      <c r="AM14" s="288"/>
      <c r="AN14" s="289"/>
      <c r="AO14" s="291"/>
      <c r="AP14" s="321">
        <f t="shared" si="0"/>
        <v>0</v>
      </c>
      <c r="AQ14" s="128"/>
      <c r="AR14" s="128"/>
      <c r="AS14" s="128"/>
      <c r="AT14" s="128"/>
    </row>
    <row r="15" s="115" customFormat="1" ht="27.75" customHeight="1" spans="1:46">
      <c r="A15" s="120"/>
      <c r="B15" s="122"/>
      <c r="C15" s="122"/>
      <c r="D15" s="122"/>
      <c r="E15" s="122"/>
      <c r="F15" s="131" t="s">
        <v>31</v>
      </c>
      <c r="G15" s="131"/>
      <c r="H15" s="131"/>
      <c r="I15" s="131"/>
      <c r="J15" s="131"/>
      <c r="K15" s="131"/>
      <c r="L15" s="134"/>
      <c r="M15" s="134"/>
      <c r="N15" s="130"/>
      <c r="O15" s="130"/>
      <c r="P15" s="168"/>
      <c r="Q15" s="131"/>
      <c r="R15" s="131"/>
      <c r="S15" s="131"/>
      <c r="T15" s="134"/>
      <c r="U15" s="134"/>
      <c r="V15" s="134"/>
      <c r="W15" s="169"/>
      <c r="X15" s="169"/>
      <c r="Y15" s="239">
        <v>4</v>
      </c>
      <c r="Z15" s="239"/>
      <c r="AA15" s="240" t="s">
        <v>32</v>
      </c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88"/>
      <c r="AM15" s="288"/>
      <c r="AN15" s="289"/>
      <c r="AO15" s="291"/>
      <c r="AP15" s="321">
        <f t="shared" si="0"/>
        <v>0</v>
      </c>
      <c r="AQ15" s="128"/>
      <c r="AR15" s="128"/>
      <c r="AS15" s="128"/>
      <c r="AT15" s="128"/>
    </row>
    <row r="16" s="115" customFormat="1" ht="27" customHeight="1" spans="1:46">
      <c r="A16" s="120"/>
      <c r="B16" s="122"/>
      <c r="C16" s="122"/>
      <c r="D16" s="122"/>
      <c r="E16" s="122"/>
      <c r="F16" s="132"/>
      <c r="G16" s="133" t="s">
        <v>33</v>
      </c>
      <c r="H16" s="132"/>
      <c r="I16" s="132"/>
      <c r="J16" s="132"/>
      <c r="K16" s="130"/>
      <c r="L16" s="130"/>
      <c r="M16" s="170"/>
      <c r="N16" s="171"/>
      <c r="O16" s="171"/>
      <c r="P16" s="171"/>
      <c r="Q16" s="171"/>
      <c r="R16" s="171"/>
      <c r="S16" s="171"/>
      <c r="T16" s="131"/>
      <c r="U16" s="131"/>
      <c r="V16" s="131"/>
      <c r="W16" s="169"/>
      <c r="X16" s="169"/>
      <c r="Y16" s="239">
        <v>5</v>
      </c>
      <c r="Z16" s="245"/>
      <c r="AA16" s="241" t="s">
        <v>34</v>
      </c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88"/>
      <c r="AM16" s="288"/>
      <c r="AN16" s="289"/>
      <c r="AO16" s="291"/>
      <c r="AP16" s="321">
        <f t="shared" si="0"/>
        <v>0</v>
      </c>
      <c r="AQ16" s="128"/>
      <c r="AR16" s="128"/>
      <c r="AS16" s="128"/>
      <c r="AT16" s="128"/>
    </row>
    <row r="17" s="115" customFormat="1" ht="30" customHeight="1" spans="1:46">
      <c r="A17" s="120"/>
      <c r="B17" s="122"/>
      <c r="C17" s="122"/>
      <c r="D17" s="122"/>
      <c r="E17" s="122"/>
      <c r="F17" s="130"/>
      <c r="G17" s="130"/>
      <c r="H17" s="130"/>
      <c r="I17" s="130"/>
      <c r="J17" s="130"/>
      <c r="K17" s="130"/>
      <c r="L17" s="130"/>
      <c r="M17" s="134"/>
      <c r="N17" s="134"/>
      <c r="O17" s="134"/>
      <c r="P17" s="169"/>
      <c r="Q17" s="134"/>
      <c r="R17" s="134"/>
      <c r="S17" s="134"/>
      <c r="T17" s="134"/>
      <c r="U17" s="134"/>
      <c r="V17" s="134"/>
      <c r="W17" s="169"/>
      <c r="X17" s="169"/>
      <c r="Y17" s="239">
        <v>6</v>
      </c>
      <c r="Z17" s="246"/>
      <c r="AA17" s="241" t="s">
        <v>35</v>
      </c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88"/>
      <c r="AM17" s="288"/>
      <c r="AN17" s="289"/>
      <c r="AO17" s="291"/>
      <c r="AP17" s="321">
        <f t="shared" si="0"/>
        <v>0</v>
      </c>
      <c r="AQ17" s="128"/>
      <c r="AR17" s="128"/>
      <c r="AS17" s="128"/>
      <c r="AT17" s="128"/>
    </row>
    <row r="18" s="115" customFormat="1" ht="18" customHeight="1" spans="1:46">
      <c r="A18" s="120"/>
      <c r="B18" s="122"/>
      <c r="C18" s="122"/>
      <c r="D18" s="122"/>
      <c r="E18" s="122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69"/>
      <c r="Q18" s="134"/>
      <c r="R18" s="134"/>
      <c r="S18" s="134"/>
      <c r="T18" s="134"/>
      <c r="U18" s="134"/>
      <c r="V18" s="134"/>
      <c r="W18" s="169"/>
      <c r="X18" s="169"/>
      <c r="Y18" s="239">
        <v>7</v>
      </c>
      <c r="Z18" s="246"/>
      <c r="AA18" s="241" t="s">
        <v>36</v>
      </c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88"/>
      <c r="AM18" s="288"/>
      <c r="AN18" s="289"/>
      <c r="AO18" s="291"/>
      <c r="AP18" s="321">
        <f t="shared" si="0"/>
        <v>0</v>
      </c>
      <c r="AQ18" s="128"/>
      <c r="AR18" s="128"/>
      <c r="AS18" s="128"/>
      <c r="AT18" s="128"/>
    </row>
    <row r="19" s="115" customFormat="1" ht="25.5" customHeight="1" spans="1:46">
      <c r="A19" s="120"/>
      <c r="B19" s="122"/>
      <c r="C19" s="122"/>
      <c r="D19" s="122"/>
      <c r="E19" s="122"/>
      <c r="F19" s="131"/>
      <c r="G19" s="135" t="s">
        <v>37</v>
      </c>
      <c r="H19" s="134"/>
      <c r="I19" s="134"/>
      <c r="J19" s="172"/>
      <c r="K19" s="131"/>
      <c r="L19" s="130"/>
      <c r="M19" s="134"/>
      <c r="N19" s="134"/>
      <c r="O19" s="134"/>
      <c r="P19" s="169"/>
      <c r="Q19" s="134"/>
      <c r="R19" s="134"/>
      <c r="S19" s="134"/>
      <c r="T19" s="134"/>
      <c r="U19" s="134"/>
      <c r="V19" s="134"/>
      <c r="W19" s="169"/>
      <c r="X19" s="169"/>
      <c r="Y19" s="239">
        <v>8</v>
      </c>
      <c r="Z19" s="246"/>
      <c r="AA19" s="241" t="s">
        <v>38</v>
      </c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88"/>
      <c r="AM19" s="288">
        <v>2</v>
      </c>
      <c r="AN19" s="289"/>
      <c r="AO19" s="291"/>
      <c r="AP19" s="321">
        <f t="shared" si="0"/>
        <v>2</v>
      </c>
      <c r="AQ19" s="128"/>
      <c r="AR19" s="128"/>
      <c r="AS19" s="128"/>
      <c r="AT19" s="128"/>
    </row>
    <row r="20" s="115" customFormat="1" ht="25.5" customHeight="1" spans="1:46">
      <c r="A20" s="120"/>
      <c r="B20" s="122"/>
      <c r="C20" s="122"/>
      <c r="D20" s="122"/>
      <c r="E20" s="122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69"/>
      <c r="Q20" s="134"/>
      <c r="R20" s="134"/>
      <c r="S20" s="134"/>
      <c r="T20" s="134"/>
      <c r="U20" s="134"/>
      <c r="V20" s="134"/>
      <c r="W20" s="169"/>
      <c r="X20" s="169"/>
      <c r="Y20" s="239">
        <v>9</v>
      </c>
      <c r="Z20" s="246"/>
      <c r="AA20" s="241" t="s">
        <v>39</v>
      </c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88"/>
      <c r="AM20" s="288"/>
      <c r="AN20" s="290"/>
      <c r="AO20" s="291"/>
      <c r="AP20" s="321">
        <f t="shared" si="0"/>
        <v>0</v>
      </c>
      <c r="AQ20" s="128"/>
      <c r="AR20" s="128"/>
      <c r="AS20" s="128"/>
      <c r="AT20" s="128"/>
    </row>
    <row r="21" s="115" customFormat="1" ht="28.5" customHeight="1" spans="1:46">
      <c r="A21" s="120"/>
      <c r="B21" s="122"/>
      <c r="C21" s="122"/>
      <c r="D21" s="122"/>
      <c r="E21" s="122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69"/>
      <c r="Q21" s="134"/>
      <c r="R21" s="134"/>
      <c r="S21" s="134"/>
      <c r="T21" s="134"/>
      <c r="U21" s="134"/>
      <c r="V21" s="134"/>
      <c r="W21" s="169"/>
      <c r="X21" s="169"/>
      <c r="Y21" s="239">
        <v>10</v>
      </c>
      <c r="Z21" s="246"/>
      <c r="AA21" s="241" t="s">
        <v>40</v>
      </c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88"/>
      <c r="AM21" s="288"/>
      <c r="AN21" s="289"/>
      <c r="AO21" s="291"/>
      <c r="AP21" s="321">
        <f t="shared" si="0"/>
        <v>0</v>
      </c>
      <c r="AQ21" s="128"/>
      <c r="AR21" s="128"/>
      <c r="AS21" s="128"/>
      <c r="AT21" s="128"/>
    </row>
    <row r="22" s="115" customFormat="1" ht="22.5" customHeight="1" spans="1:46">
      <c r="A22" s="120"/>
      <c r="B22" s="122"/>
      <c r="C22" s="122"/>
      <c r="D22" s="122"/>
      <c r="E22" s="122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69"/>
      <c r="Q22" s="134"/>
      <c r="R22" s="134"/>
      <c r="S22" s="134"/>
      <c r="T22" s="134"/>
      <c r="U22" s="134"/>
      <c r="V22" s="134"/>
      <c r="W22" s="169"/>
      <c r="X22" s="169"/>
      <c r="Y22" s="239">
        <v>11</v>
      </c>
      <c r="Z22" s="246"/>
      <c r="AA22" s="241" t="s">
        <v>41</v>
      </c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88"/>
      <c r="AM22" s="288"/>
      <c r="AN22" s="289"/>
      <c r="AO22" s="291"/>
      <c r="AP22" s="321">
        <f t="shared" si="0"/>
        <v>0</v>
      </c>
      <c r="AQ22" s="128"/>
      <c r="AR22" s="128"/>
      <c r="AS22" s="128"/>
      <c r="AT22" s="128"/>
    </row>
    <row r="23" s="115" customFormat="1" ht="28.5" customHeight="1" spans="1:46">
      <c r="A23" s="120"/>
      <c r="B23" s="122"/>
      <c r="C23" s="122"/>
      <c r="D23" s="122"/>
      <c r="E23" s="122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69"/>
      <c r="Q23" s="134"/>
      <c r="R23" s="134"/>
      <c r="S23" s="134"/>
      <c r="T23" s="134"/>
      <c r="U23" s="134"/>
      <c r="V23" s="134"/>
      <c r="W23" s="169"/>
      <c r="X23" s="169"/>
      <c r="Y23" s="239">
        <v>12</v>
      </c>
      <c r="Z23" s="246"/>
      <c r="AA23" s="241" t="s">
        <v>42</v>
      </c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88"/>
      <c r="AM23" s="288"/>
      <c r="AN23" s="289"/>
      <c r="AO23" s="291"/>
      <c r="AP23" s="321">
        <f t="shared" si="0"/>
        <v>0</v>
      </c>
      <c r="AQ23" s="128"/>
      <c r="AR23" s="128"/>
      <c r="AS23" s="128"/>
      <c r="AT23" s="128"/>
    </row>
    <row r="24" s="115" customFormat="1" ht="24.75" customHeight="1" spans="1:46">
      <c r="A24" s="120"/>
      <c r="B24" s="122"/>
      <c r="C24" s="123" t="s">
        <v>43</v>
      </c>
      <c r="D24" s="123"/>
      <c r="E24" s="123"/>
      <c r="F24" s="131">
        <v>21</v>
      </c>
      <c r="G24" s="134"/>
      <c r="H24" s="134"/>
      <c r="I24" s="134"/>
      <c r="J24" s="134"/>
      <c r="K24" s="134"/>
      <c r="L24" s="134"/>
      <c r="M24" s="134"/>
      <c r="N24" s="134"/>
      <c r="O24" s="134"/>
      <c r="P24" s="169"/>
      <c r="Q24" s="134"/>
      <c r="R24" s="134"/>
      <c r="S24" s="134"/>
      <c r="T24" s="134"/>
      <c r="U24" s="134"/>
      <c r="V24" s="134"/>
      <c r="W24" s="169"/>
      <c r="X24" s="169"/>
      <c r="Y24" s="239">
        <v>13</v>
      </c>
      <c r="Z24" s="246"/>
      <c r="AA24" s="241" t="s">
        <v>44</v>
      </c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88"/>
      <c r="AM24" s="288"/>
      <c r="AN24" s="289"/>
      <c r="AO24" s="291"/>
      <c r="AP24" s="321">
        <f t="shared" si="0"/>
        <v>0</v>
      </c>
      <c r="AQ24" s="128"/>
      <c r="AR24" s="128"/>
      <c r="AS24" s="128"/>
      <c r="AT24" s="128"/>
    </row>
    <row r="25" s="115" customFormat="1" ht="23.25" customHeight="1" spans="1:46">
      <c r="A25" s="120"/>
      <c r="B25" s="122"/>
      <c r="C25" s="123"/>
      <c r="D25" s="123"/>
      <c r="E25" s="12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69"/>
      <c r="Q25" s="134"/>
      <c r="R25" s="134"/>
      <c r="S25" s="134"/>
      <c r="T25" s="134"/>
      <c r="U25" s="134"/>
      <c r="V25" s="134"/>
      <c r="W25" s="169"/>
      <c r="X25" s="169"/>
      <c r="Y25" s="239">
        <v>14</v>
      </c>
      <c r="Z25" s="246"/>
      <c r="AA25" s="241" t="s">
        <v>45</v>
      </c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88"/>
      <c r="AM25" s="288"/>
      <c r="AN25" s="289"/>
      <c r="AO25" s="291"/>
      <c r="AP25" s="321">
        <f t="shared" si="0"/>
        <v>0</v>
      </c>
      <c r="AQ25" s="128"/>
      <c r="AR25" s="128"/>
      <c r="AS25" s="128"/>
      <c r="AT25" s="128"/>
    </row>
    <row r="26" s="115" customFormat="1" ht="25.5" customHeight="1" spans="1:46">
      <c r="A26" s="120"/>
      <c r="B26" s="122"/>
      <c r="C26" s="123" t="s">
        <v>46</v>
      </c>
      <c r="D26" s="123"/>
      <c r="E26" s="123">
        <v>198</v>
      </c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69"/>
      <c r="Q26" s="134"/>
      <c r="R26" s="134"/>
      <c r="S26" s="134"/>
      <c r="T26" s="134"/>
      <c r="U26" s="134"/>
      <c r="V26" s="134"/>
      <c r="W26" s="169"/>
      <c r="X26" s="169"/>
      <c r="Y26" s="239">
        <v>15</v>
      </c>
      <c r="Z26" s="247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88"/>
      <c r="AM26" s="288"/>
      <c r="AN26" s="291"/>
      <c r="AO26" s="291"/>
      <c r="AP26" s="321">
        <f t="shared" si="0"/>
        <v>0</v>
      </c>
      <c r="AQ26" s="128"/>
      <c r="AR26" s="128"/>
      <c r="AS26" s="128"/>
      <c r="AT26" s="128"/>
    </row>
    <row r="27" s="116" customFormat="1" ht="22.5" customHeight="1" spans="2:46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239">
        <v>16</v>
      </c>
      <c r="Z27" s="248"/>
      <c r="AA27" s="249" t="s">
        <v>47</v>
      </c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92"/>
      <c r="AM27" s="292"/>
      <c r="AN27" s="293"/>
      <c r="AO27" s="292"/>
      <c r="AP27" s="321">
        <f t="shared" si="0"/>
        <v>0</v>
      </c>
      <c r="AQ27" s="128"/>
      <c r="AR27" s="128"/>
      <c r="AS27" s="128"/>
      <c r="AT27" s="128"/>
    </row>
    <row r="28" s="115" customFormat="1" ht="33.75" customHeight="1" spans="1:46">
      <c r="A28" s="120"/>
      <c r="B28" s="122"/>
      <c r="C28" s="122"/>
      <c r="D28" s="122"/>
      <c r="E28" s="122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69"/>
      <c r="Q28" s="134"/>
      <c r="R28" s="134"/>
      <c r="S28" s="134"/>
      <c r="T28" s="134"/>
      <c r="U28" s="134"/>
      <c r="V28" s="134"/>
      <c r="W28" s="169"/>
      <c r="X28" s="169"/>
      <c r="Y28" s="239">
        <v>17</v>
      </c>
      <c r="Z28" s="246"/>
      <c r="AA28" s="241" t="s">
        <v>48</v>
      </c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88"/>
      <c r="AM28" s="288"/>
      <c r="AN28" s="289"/>
      <c r="AO28" s="291"/>
      <c r="AP28" s="321">
        <f t="shared" si="0"/>
        <v>0</v>
      </c>
      <c r="AQ28" s="128"/>
      <c r="AR28" s="128"/>
      <c r="AS28" s="128"/>
      <c r="AT28" s="128"/>
    </row>
    <row r="29" s="115" customFormat="1" ht="31.5" customHeight="1" spans="1:46">
      <c r="A29" s="120"/>
      <c r="B29" s="122"/>
      <c r="C29" s="122"/>
      <c r="D29" s="122"/>
      <c r="E29" s="122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69"/>
      <c r="Q29" s="134"/>
      <c r="R29" s="134"/>
      <c r="S29" s="134"/>
      <c r="T29" s="134"/>
      <c r="U29" s="134"/>
      <c r="V29" s="134"/>
      <c r="W29" s="169"/>
      <c r="X29" s="169"/>
      <c r="Y29" s="239">
        <v>18</v>
      </c>
      <c r="Z29" s="246"/>
      <c r="AA29" s="241" t="s">
        <v>49</v>
      </c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88"/>
      <c r="AM29" s="288"/>
      <c r="AN29" s="289"/>
      <c r="AO29" s="291"/>
      <c r="AP29" s="321">
        <f t="shared" si="0"/>
        <v>0</v>
      </c>
      <c r="AQ29" s="128"/>
      <c r="AR29" s="128"/>
      <c r="AS29" s="128"/>
      <c r="AT29" s="128"/>
    </row>
    <row r="30" s="115" customFormat="1" ht="29.25" customHeight="1" spans="1:46">
      <c r="A30" s="120"/>
      <c r="B30" s="122"/>
      <c r="C30" s="122"/>
      <c r="D30" s="122"/>
      <c r="E30" s="122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69"/>
      <c r="Q30" s="134"/>
      <c r="R30" s="134"/>
      <c r="S30" s="130"/>
      <c r="T30" s="134"/>
      <c r="U30" s="134"/>
      <c r="V30" s="134"/>
      <c r="W30" s="169"/>
      <c r="X30" s="169"/>
      <c r="Y30" s="239">
        <v>19</v>
      </c>
      <c r="Z30" s="246"/>
      <c r="AA30" s="241" t="s">
        <v>50</v>
      </c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88"/>
      <c r="AM30" s="288">
        <v>5</v>
      </c>
      <c r="AN30" s="289"/>
      <c r="AO30" s="291"/>
      <c r="AP30" s="321">
        <f t="shared" si="0"/>
        <v>5</v>
      </c>
      <c r="AQ30" s="128"/>
      <c r="AR30" s="128"/>
      <c r="AS30" s="128"/>
      <c r="AT30" s="128"/>
    </row>
    <row r="31" s="115" customFormat="1" ht="38.25" customHeight="1" spans="1:46">
      <c r="A31" s="120"/>
      <c r="B31" s="122"/>
      <c r="C31" s="122"/>
      <c r="D31" s="122"/>
      <c r="E31" s="122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69"/>
      <c r="Q31" s="134"/>
      <c r="R31" s="134"/>
      <c r="S31" s="134"/>
      <c r="T31" s="134"/>
      <c r="U31" s="134"/>
      <c r="V31" s="134"/>
      <c r="W31" s="169"/>
      <c r="X31" s="169"/>
      <c r="Y31" s="239">
        <v>20</v>
      </c>
      <c r="Z31" s="250"/>
      <c r="AA31" s="251" t="s">
        <v>51</v>
      </c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94"/>
      <c r="AM31" s="294"/>
      <c r="AN31" s="295"/>
      <c r="AO31" s="322"/>
      <c r="AP31" s="321">
        <f t="shared" si="0"/>
        <v>0</v>
      </c>
      <c r="AQ31" s="128"/>
      <c r="AR31" s="128"/>
      <c r="AS31" s="128"/>
      <c r="AT31" s="128"/>
    </row>
    <row r="32" s="115" customFormat="1" ht="36" customHeight="1" spans="1:46">
      <c r="A32" s="120"/>
      <c r="B32" s="122"/>
      <c r="C32" s="122"/>
      <c r="D32" s="122"/>
      <c r="E32" s="122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69"/>
      <c r="Q32" s="134"/>
      <c r="R32" s="134"/>
      <c r="S32" s="134"/>
      <c r="T32" s="130"/>
      <c r="U32" s="134"/>
      <c r="V32" s="134"/>
      <c r="W32" s="169"/>
      <c r="X32" s="169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96"/>
      <c r="AM32" s="296">
        <f>SUM(AM12:AM31)</f>
        <v>9</v>
      </c>
      <c r="AN32" s="297">
        <f>SUM(AN12:AN31)</f>
        <v>0</v>
      </c>
      <c r="AO32" s="297">
        <f>SUM(AO12:AO31)</f>
        <v>0</v>
      </c>
      <c r="AP32" s="323">
        <f>SUM(AP12:AP31)</f>
        <v>9</v>
      </c>
      <c r="AQ32" s="128"/>
      <c r="AR32" s="128"/>
      <c r="AS32" s="128"/>
      <c r="AT32" s="128"/>
    </row>
    <row r="33" s="1" customFormat="1" ht="24.75" customHeight="1" spans="1:46">
      <c r="A33" s="7"/>
      <c r="B33" s="8"/>
      <c r="C33" s="8"/>
      <c r="D33" s="8"/>
      <c r="E33" s="9"/>
      <c r="F33" s="9"/>
      <c r="G33" s="9"/>
      <c r="H33" s="9"/>
      <c r="I33" s="40"/>
      <c r="J33" s="40"/>
      <c r="K33" s="40"/>
      <c r="L33" s="40"/>
      <c r="M33" s="8"/>
      <c r="N33" s="173" t="s">
        <v>52</v>
      </c>
      <c r="O33" s="173"/>
      <c r="P33" s="173"/>
      <c r="Q33" s="173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78"/>
      <c r="AG33" s="10"/>
      <c r="AH33" s="10"/>
      <c r="AI33" s="10"/>
      <c r="AJ33" s="10"/>
      <c r="AK33" s="10"/>
      <c r="AL33" s="99"/>
      <c r="AM33" s="99"/>
      <c r="AN33" s="99"/>
      <c r="AO33" s="99"/>
      <c r="AP33" s="99"/>
      <c r="AQ33" s="99"/>
      <c r="AR33" s="99"/>
      <c r="AS33" s="99"/>
      <c r="AT33" s="99"/>
    </row>
    <row r="34" s="1" customFormat="1" ht="28.5" customHeight="1" spans="1:46">
      <c r="A34" s="7"/>
      <c r="B34" s="8"/>
      <c r="C34" s="8"/>
      <c r="D34" s="8"/>
      <c r="E34" s="9"/>
      <c r="F34" s="9"/>
      <c r="G34" s="9"/>
      <c r="H34" s="9"/>
      <c r="I34" s="40"/>
      <c r="J34" s="40"/>
      <c r="K34" s="40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78"/>
      <c r="AG34" s="10"/>
      <c r="AH34" s="10"/>
      <c r="AI34" s="10"/>
      <c r="AJ34" s="10"/>
      <c r="AK34" s="10"/>
      <c r="AL34" s="99"/>
      <c r="AM34" s="99"/>
      <c r="AN34" s="99"/>
      <c r="AO34" s="99"/>
      <c r="AP34" s="99"/>
      <c r="AQ34" s="99"/>
      <c r="AR34" s="99"/>
      <c r="AS34" s="99"/>
      <c r="AT34" s="99"/>
    </row>
    <row r="35" s="1" customFormat="1" ht="22.5" customHeight="1" spans="1:46">
      <c r="A35" s="7"/>
      <c r="B35" s="10"/>
      <c r="C35" s="10"/>
      <c r="D35" s="10"/>
      <c r="E35" s="11"/>
      <c r="F35" s="11"/>
      <c r="G35" s="11"/>
      <c r="H35" s="11"/>
      <c r="I35" s="42">
        <v>17697</v>
      </c>
      <c r="J35" s="42"/>
      <c r="K35" s="42"/>
      <c r="L35" s="4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99"/>
      <c r="AM35" s="99"/>
      <c r="AN35" s="100">
        <v>2917</v>
      </c>
      <c r="AO35" s="100"/>
      <c r="AP35" s="99"/>
      <c r="AQ35" s="99"/>
      <c r="AR35" s="99"/>
      <c r="AS35" s="99"/>
      <c r="AT35" s="99"/>
    </row>
    <row r="36" s="1" customFormat="1" ht="1.5" hidden="1" customHeight="1" spans="1:46">
      <c r="A36" s="7"/>
      <c r="B36" s="10"/>
      <c r="C36" s="10"/>
      <c r="D36" s="10"/>
      <c r="E36" s="11"/>
      <c r="F36" s="11"/>
      <c r="G36" s="11"/>
      <c r="H36" s="11"/>
      <c r="I36" s="42"/>
      <c r="J36" s="42"/>
      <c r="K36" s="42"/>
      <c r="L36" s="4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99"/>
      <c r="AM36" s="99"/>
      <c r="AN36" s="99"/>
      <c r="AO36" s="99"/>
      <c r="AP36" s="99"/>
      <c r="AQ36" s="99"/>
      <c r="AR36" s="99"/>
      <c r="AS36" s="99"/>
      <c r="AT36" s="99"/>
    </row>
    <row r="37" s="1" customFormat="1" ht="34.5" hidden="1" customHeight="1" spans="1:46">
      <c r="A37" s="7"/>
      <c r="B37" s="10"/>
      <c r="C37" s="10"/>
      <c r="D37" s="10"/>
      <c r="E37" s="11"/>
      <c r="F37" s="11"/>
      <c r="G37" s="11"/>
      <c r="H37" s="11"/>
      <c r="I37" s="42"/>
      <c r="J37" s="42"/>
      <c r="K37" s="42"/>
      <c r="L37" s="4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99"/>
      <c r="AM37" s="99"/>
      <c r="AN37" s="99"/>
      <c r="AO37" s="99"/>
      <c r="AP37" s="99"/>
      <c r="AQ37" s="99"/>
      <c r="AR37" s="99"/>
      <c r="AS37" s="99"/>
      <c r="AT37" s="99"/>
    </row>
    <row r="38" s="1" customFormat="1" ht="34.5" hidden="1" customHeight="1" spans="1:46">
      <c r="A38" s="7"/>
      <c r="B38" s="10"/>
      <c r="C38" s="10"/>
      <c r="D38" s="10"/>
      <c r="E38" s="11"/>
      <c r="F38" s="11"/>
      <c r="G38" s="11"/>
      <c r="H38" s="11"/>
      <c r="I38" s="42"/>
      <c r="J38" s="42"/>
      <c r="K38" s="42"/>
      <c r="L38" s="4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99"/>
      <c r="AM38" s="99"/>
      <c r="AN38" s="99"/>
      <c r="AO38" s="99"/>
      <c r="AP38" s="99"/>
      <c r="AQ38" s="99"/>
      <c r="AR38" s="99"/>
      <c r="AS38" s="99"/>
      <c r="AT38" s="99"/>
    </row>
    <row r="39" s="1" customFormat="1" ht="32.25" hidden="1" customHeight="1" spans="1:46">
      <c r="A39" s="7"/>
      <c r="B39" s="10"/>
      <c r="C39" s="10"/>
      <c r="D39" s="10"/>
      <c r="E39" s="11"/>
      <c r="F39" s="11"/>
      <c r="G39" s="11"/>
      <c r="H39" s="11"/>
      <c r="I39" s="42"/>
      <c r="J39" s="42"/>
      <c r="K39" s="42"/>
      <c r="L39" s="4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99"/>
      <c r="AM39" s="99"/>
      <c r="AN39" s="99"/>
      <c r="AO39" s="99"/>
      <c r="AP39" s="99"/>
      <c r="AQ39" s="99"/>
      <c r="AR39" s="99"/>
      <c r="AS39" s="99"/>
      <c r="AT39" s="99"/>
    </row>
    <row r="40" s="1" customFormat="1" ht="34.5" hidden="1" customHeight="1" spans="1:46">
      <c r="A40" s="7"/>
      <c r="B40" s="10"/>
      <c r="C40" s="10"/>
      <c r="D40" s="10"/>
      <c r="E40" s="11"/>
      <c r="F40" s="11"/>
      <c r="G40" s="11"/>
      <c r="H40" s="11"/>
      <c r="I40" s="42"/>
      <c r="J40" s="42"/>
      <c r="K40" s="42"/>
      <c r="L40" s="4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99"/>
      <c r="AM40" s="99"/>
      <c r="AN40" s="99"/>
      <c r="AO40" s="99"/>
      <c r="AP40" s="99"/>
      <c r="AQ40" s="99"/>
      <c r="AR40" s="99"/>
      <c r="AS40" s="99"/>
      <c r="AT40" s="99"/>
    </row>
    <row r="41" s="1" customFormat="1" ht="42.75" customHeight="1" spans="1:48">
      <c r="A41" s="136" t="s">
        <v>53</v>
      </c>
      <c r="B41" s="136" t="s">
        <v>54</v>
      </c>
      <c r="C41" s="136" t="s">
        <v>55</v>
      </c>
      <c r="D41" s="136" t="s">
        <v>56</v>
      </c>
      <c r="E41" s="137" t="s">
        <v>57</v>
      </c>
      <c r="F41" s="138" t="s">
        <v>58</v>
      </c>
      <c r="G41" s="138" t="s">
        <v>59</v>
      </c>
      <c r="H41" s="139" t="s">
        <v>60</v>
      </c>
      <c r="I41" s="174" t="s">
        <v>61</v>
      </c>
      <c r="J41" s="175" t="s">
        <v>62</v>
      </c>
      <c r="K41" s="176" t="s">
        <v>63</v>
      </c>
      <c r="L41" s="441" t="s">
        <v>64</v>
      </c>
      <c r="M41" s="178" t="s">
        <v>65</v>
      </c>
      <c r="N41" s="179"/>
      <c r="O41" s="179"/>
      <c r="P41" s="180"/>
      <c r="Q41" s="212" t="s">
        <v>66</v>
      </c>
      <c r="R41" s="213"/>
      <c r="S41" s="213"/>
      <c r="T41" s="214"/>
      <c r="U41" s="215" t="s">
        <v>67</v>
      </c>
      <c r="V41" s="216">
        <v>0.1</v>
      </c>
      <c r="W41" s="217" t="s">
        <v>68</v>
      </c>
      <c r="X41" s="218"/>
      <c r="Y41" s="253" t="s">
        <v>69</v>
      </c>
      <c r="Z41" s="253"/>
      <c r="AA41" s="254" t="s">
        <v>70</v>
      </c>
      <c r="AB41" s="255"/>
      <c r="AC41" s="256"/>
      <c r="AD41" s="257" t="s">
        <v>71</v>
      </c>
      <c r="AE41" s="258"/>
      <c r="AF41" s="259"/>
      <c r="AG41" s="259"/>
      <c r="AH41" s="298"/>
      <c r="AI41" s="299" t="s">
        <v>72</v>
      </c>
      <c r="AJ41" s="300"/>
      <c r="AK41" s="300"/>
      <c r="AL41" s="300"/>
      <c r="AM41" s="300"/>
      <c r="AN41" s="300"/>
      <c r="AO41" s="300"/>
      <c r="AP41" s="300"/>
      <c r="AQ41" s="300"/>
      <c r="AR41" s="300"/>
      <c r="AS41" s="300"/>
      <c r="AT41" s="300"/>
      <c r="AU41" s="324"/>
      <c r="AV41" s="325" t="s">
        <v>73</v>
      </c>
    </row>
    <row r="42" s="1" customFormat="1" ht="171" customHeight="1" spans="1:48">
      <c r="A42" s="136"/>
      <c r="B42" s="136"/>
      <c r="C42" s="136"/>
      <c r="D42" s="136"/>
      <c r="E42" s="140"/>
      <c r="F42" s="138"/>
      <c r="G42" s="138"/>
      <c r="H42" s="141"/>
      <c r="I42" s="181"/>
      <c r="J42" s="182"/>
      <c r="K42" s="183"/>
      <c r="L42" s="442"/>
      <c r="M42" s="442" t="s">
        <v>74</v>
      </c>
      <c r="N42" s="185" t="s">
        <v>75</v>
      </c>
      <c r="O42" s="185" t="s">
        <v>76</v>
      </c>
      <c r="P42" s="185" t="s">
        <v>77</v>
      </c>
      <c r="Q42" s="442" t="s">
        <v>74</v>
      </c>
      <c r="R42" s="185" t="s">
        <v>75</v>
      </c>
      <c r="S42" s="185" t="s">
        <v>76</v>
      </c>
      <c r="T42" s="185" t="s">
        <v>77</v>
      </c>
      <c r="U42" s="219"/>
      <c r="V42" s="220"/>
      <c r="W42" s="221" t="s">
        <v>78</v>
      </c>
      <c r="X42" s="222" t="s">
        <v>79</v>
      </c>
      <c r="Y42" s="221" t="s">
        <v>80</v>
      </c>
      <c r="Z42" s="222" t="s">
        <v>81</v>
      </c>
      <c r="AA42" s="260" t="s">
        <v>82</v>
      </c>
      <c r="AB42" s="261" t="s">
        <v>83</v>
      </c>
      <c r="AC42" s="262" t="s">
        <v>84</v>
      </c>
      <c r="AD42" s="263"/>
      <c r="AE42" s="264" t="s">
        <v>85</v>
      </c>
      <c r="AF42" s="265" t="s">
        <v>86</v>
      </c>
      <c r="AG42" s="301">
        <v>0.4</v>
      </c>
      <c r="AH42" s="301">
        <v>0.5</v>
      </c>
      <c r="AI42" s="302" t="s">
        <v>87</v>
      </c>
      <c r="AJ42" s="302" t="s">
        <v>88</v>
      </c>
      <c r="AK42" s="303" t="s">
        <v>89</v>
      </c>
      <c r="AL42" s="304"/>
      <c r="AM42" s="303" t="s">
        <v>90</v>
      </c>
      <c r="AN42" s="304"/>
      <c r="AO42" s="222" t="s">
        <v>91</v>
      </c>
      <c r="AP42" s="303" t="s">
        <v>92</v>
      </c>
      <c r="AQ42" s="304"/>
      <c r="AR42" s="303" t="s">
        <v>93</v>
      </c>
      <c r="AS42" s="304"/>
      <c r="AT42" s="222" t="s">
        <v>94</v>
      </c>
      <c r="AU42" s="326" t="s">
        <v>95</v>
      </c>
      <c r="AV42" s="327"/>
    </row>
    <row r="43" s="117" customFormat="1" ht="45.75" customHeight="1" spans="1:48">
      <c r="A43" s="142">
        <v>1</v>
      </c>
      <c r="B43" s="432" t="s">
        <v>96</v>
      </c>
      <c r="C43" s="144" t="s">
        <v>97</v>
      </c>
      <c r="D43" s="144" t="s">
        <v>98</v>
      </c>
      <c r="E43" s="144" t="s">
        <v>99</v>
      </c>
      <c r="F43" s="154" t="s">
        <v>100</v>
      </c>
      <c r="G43" s="154">
        <v>5.41</v>
      </c>
      <c r="H43" s="148" t="s">
        <v>101</v>
      </c>
      <c r="I43" s="443">
        <f>17697*G43</f>
        <v>95740.77</v>
      </c>
      <c r="J43" s="186">
        <f>I43*0.25</f>
        <v>23935.1925</v>
      </c>
      <c r="K43" s="186">
        <f>(I43+J43)*0.5</f>
        <v>59837.98125</v>
      </c>
      <c r="L43" s="186">
        <f>(I43+J43)*1.5</f>
        <v>179513.94375</v>
      </c>
      <c r="M43" s="186"/>
      <c r="N43" s="187"/>
      <c r="O43" s="188">
        <v>25</v>
      </c>
      <c r="P43" s="305">
        <v>6</v>
      </c>
      <c r="Q43" s="191">
        <f t="shared" ref="Q43:Q49" si="1">M43/24*L43</f>
        <v>0</v>
      </c>
      <c r="R43" s="191">
        <f>N43/16*L43</f>
        <v>0</v>
      </c>
      <c r="S43" s="191">
        <f>O43/16*L43</f>
        <v>280490.537109375</v>
      </c>
      <c r="T43" s="191">
        <f>P43/16*L43</f>
        <v>67317.72890625</v>
      </c>
      <c r="U43" s="191">
        <f t="shared" ref="U43:U67" si="2">R43+S43+T43</f>
        <v>347808.266015625</v>
      </c>
      <c r="V43" s="223">
        <f t="shared" ref="V43:V48" si="3">U43*0.1</f>
        <v>34780.8266015625</v>
      </c>
      <c r="W43" s="187"/>
      <c r="X43" s="192">
        <f t="shared" ref="X43:X81" si="4">17697*0.4/16*W43</f>
        <v>0</v>
      </c>
      <c r="Y43" s="187">
        <v>31</v>
      </c>
      <c r="Z43" s="186">
        <f>L43*0.3/16*Y43</f>
        <v>104342.479804688</v>
      </c>
      <c r="AA43" s="445">
        <v>31</v>
      </c>
      <c r="AB43" s="268">
        <v>40</v>
      </c>
      <c r="AC43" s="186">
        <f>(L43*AB43/100)/16*AA43</f>
        <v>139123.30640625</v>
      </c>
      <c r="AD43" s="443"/>
      <c r="AE43" s="267"/>
      <c r="AF43" s="446">
        <v>12.88</v>
      </c>
      <c r="AG43" s="192">
        <f>SUM(17697/16*0.4*AE43)</f>
        <v>0</v>
      </c>
      <c r="AH43" s="192">
        <f>SUM(17697/16*0.5*AF43)</f>
        <v>7123.0425</v>
      </c>
      <c r="AI43" s="192"/>
      <c r="AJ43" s="305">
        <v>1.5</v>
      </c>
      <c r="AK43" s="187">
        <f>SUM($I$35*AI43)*0.5</f>
        <v>0</v>
      </c>
      <c r="AL43" s="187">
        <f>SUM($I$35*AJ43)*0.6</f>
        <v>15927.3</v>
      </c>
      <c r="AM43" s="187">
        <v>100</v>
      </c>
      <c r="AN43" s="187">
        <f>SUM($I$35*AM43)*0.2/100</f>
        <v>3539.4</v>
      </c>
      <c r="AO43" s="187"/>
      <c r="AP43" s="187"/>
      <c r="AQ43" s="188">
        <f t="shared" ref="AQ43:AQ59" si="5">SUM($AN$35*AP43)</f>
        <v>0</v>
      </c>
      <c r="AR43" s="188"/>
      <c r="AS43" s="188">
        <f>SUM($I$35*AR43)</f>
        <v>0</v>
      </c>
      <c r="AT43" s="187"/>
      <c r="AU43" s="187"/>
      <c r="AV43" s="328">
        <f t="shared" ref="AV43:AV65" si="6">U43+V43+X43+Z43+AC43+AD43+AG43+AH43+AK43+AL43+AN43+AO43+AQ43+AT43+AU43+AS43</f>
        <v>652644.621328125</v>
      </c>
    </row>
    <row r="44" s="117" customFormat="1" ht="45.75" customHeight="1" spans="1:48">
      <c r="A44" s="142">
        <v>2</v>
      </c>
      <c r="B44" s="143" t="s">
        <v>102</v>
      </c>
      <c r="C44" s="144" t="s">
        <v>103</v>
      </c>
      <c r="D44" s="144" t="s">
        <v>98</v>
      </c>
      <c r="E44" s="145" t="s">
        <v>99</v>
      </c>
      <c r="F44" s="146" t="s">
        <v>100</v>
      </c>
      <c r="G44" s="147">
        <v>5.41</v>
      </c>
      <c r="H44" s="148" t="s">
        <v>104</v>
      </c>
      <c r="I44" s="186">
        <f>17697*G44</f>
        <v>95740.77</v>
      </c>
      <c r="J44" s="186">
        <f>I44*0.25</f>
        <v>23935.1925</v>
      </c>
      <c r="K44" s="186">
        <f>(I44+J44)*0.5</f>
        <v>59837.98125</v>
      </c>
      <c r="L44" s="186">
        <f>(I44+J44)*1.5</f>
        <v>179513.94375</v>
      </c>
      <c r="M44" s="186"/>
      <c r="N44" s="187"/>
      <c r="O44" s="188">
        <v>5</v>
      </c>
      <c r="P44" s="187">
        <v>3</v>
      </c>
      <c r="Q44" s="191">
        <f t="shared" si="1"/>
        <v>0</v>
      </c>
      <c r="R44" s="191">
        <f t="shared" ref="R44:R81" si="7">N44/16*L44</f>
        <v>0</v>
      </c>
      <c r="S44" s="191">
        <f t="shared" ref="S44:S81" si="8">O44/16*L44</f>
        <v>56098.107421875</v>
      </c>
      <c r="T44" s="191">
        <f t="shared" ref="T44:T81" si="9">P44/16*L44</f>
        <v>33658.864453125</v>
      </c>
      <c r="U44" s="191">
        <f t="shared" si="2"/>
        <v>89756.971875</v>
      </c>
      <c r="V44" s="223">
        <f t="shared" si="3"/>
        <v>8975.6971875</v>
      </c>
      <c r="W44" s="187"/>
      <c r="X44" s="192">
        <f t="shared" si="4"/>
        <v>0</v>
      </c>
      <c r="Y44" s="187">
        <v>8</v>
      </c>
      <c r="Z44" s="186">
        <f t="shared" ref="Z44:Z81" si="10">L44*0.3/16*Y44</f>
        <v>26927.0915625</v>
      </c>
      <c r="AA44" s="189">
        <v>8</v>
      </c>
      <c r="AB44" s="191">
        <v>40</v>
      </c>
      <c r="AC44" s="186">
        <f t="shared" ref="AC44:AC81" si="11">(L44*AB44/100)/16*AA44</f>
        <v>35902.78875</v>
      </c>
      <c r="AD44" s="186"/>
      <c r="AE44" s="267"/>
      <c r="AF44" s="187">
        <v>13.25</v>
      </c>
      <c r="AG44" s="192">
        <f t="shared" ref="AG44:AG81" si="12">SUM(17697/16*0.4*AE44)</f>
        <v>0</v>
      </c>
      <c r="AH44" s="192">
        <f t="shared" ref="AH44:AH81" si="13">SUM(17697/16*0.5*AF44)</f>
        <v>7327.6640625</v>
      </c>
      <c r="AI44" s="192"/>
      <c r="AK44" s="187">
        <f>SUM($I$35*AI44)*0.5</f>
        <v>0</v>
      </c>
      <c r="AL44" s="187">
        <f>SUM($I$35*AJ45)*0.6</f>
        <v>0</v>
      </c>
      <c r="AM44" s="187"/>
      <c r="AN44" s="187">
        <f>SUM($I$35*AM44)*0.2/100</f>
        <v>0</v>
      </c>
      <c r="AO44" s="187"/>
      <c r="AP44" s="187"/>
      <c r="AQ44" s="188">
        <f t="shared" si="5"/>
        <v>0</v>
      </c>
      <c r="AR44" s="188"/>
      <c r="AS44" s="188">
        <f t="shared" ref="AS44:AS81" si="14">SUM($I$35*AR44)</f>
        <v>0</v>
      </c>
      <c r="AT44" s="187"/>
      <c r="AU44" s="187"/>
      <c r="AV44" s="328">
        <f t="shared" si="6"/>
        <v>168890.2134375</v>
      </c>
    </row>
    <row r="45" s="117" customFormat="1" ht="45.75" customHeight="1" spans="1:48">
      <c r="A45" s="142"/>
      <c r="B45" s="143" t="s">
        <v>105</v>
      </c>
      <c r="C45" s="144" t="s">
        <v>103</v>
      </c>
      <c r="D45" s="144" t="s">
        <v>98</v>
      </c>
      <c r="E45" s="145" t="s">
        <v>99</v>
      </c>
      <c r="F45" s="146" t="s">
        <v>100</v>
      </c>
      <c r="G45" s="147">
        <v>5.41</v>
      </c>
      <c r="H45" s="148" t="s">
        <v>104</v>
      </c>
      <c r="I45" s="186">
        <f>17697*G45</f>
        <v>95740.77</v>
      </c>
      <c r="J45" s="186">
        <f>I45*0.25</f>
        <v>23935.1925</v>
      </c>
      <c r="K45" s="186">
        <f>(I45+J45)*0.5</f>
        <v>59837.98125</v>
      </c>
      <c r="L45" s="186">
        <f>(I45+J45)*1.5</f>
        <v>179513.94375</v>
      </c>
      <c r="M45" s="186"/>
      <c r="N45" s="187"/>
      <c r="O45" s="188">
        <v>21</v>
      </c>
      <c r="P45" s="187"/>
      <c r="Q45" s="191">
        <f t="shared" si="1"/>
        <v>0</v>
      </c>
      <c r="R45" s="191">
        <f t="shared" si="7"/>
        <v>0</v>
      </c>
      <c r="S45" s="191">
        <f t="shared" si="8"/>
        <v>235612.051171875</v>
      </c>
      <c r="T45" s="191">
        <f t="shared" si="9"/>
        <v>0</v>
      </c>
      <c r="U45" s="191">
        <f t="shared" si="2"/>
        <v>235612.051171875</v>
      </c>
      <c r="V45" s="223">
        <f t="shared" si="3"/>
        <v>23561.2051171875</v>
      </c>
      <c r="W45" s="187"/>
      <c r="X45" s="192">
        <f t="shared" si="4"/>
        <v>0</v>
      </c>
      <c r="Y45" s="187">
        <v>21</v>
      </c>
      <c r="Z45" s="186">
        <f t="shared" si="10"/>
        <v>70683.6153515625</v>
      </c>
      <c r="AA45" s="266">
        <v>21</v>
      </c>
      <c r="AB45" s="191">
        <v>40</v>
      </c>
      <c r="AC45" s="186">
        <f t="shared" si="11"/>
        <v>94244.82046875</v>
      </c>
      <c r="AD45" s="186"/>
      <c r="AE45" s="267"/>
      <c r="AF45" s="187"/>
      <c r="AG45" s="192">
        <f t="shared" si="12"/>
        <v>0</v>
      </c>
      <c r="AH45" s="192">
        <f t="shared" si="13"/>
        <v>0</v>
      </c>
      <c r="AI45" s="192"/>
      <c r="AJ45" s="305"/>
      <c r="AK45" s="187">
        <f>SUM($I$35*AI45)*0.5</f>
        <v>0</v>
      </c>
      <c r="AL45" s="187">
        <f>SUM($I$35*AJ46)*0.6</f>
        <v>0</v>
      </c>
      <c r="AM45" s="187"/>
      <c r="AN45" s="187">
        <f>SUM($I$35*AM45)*0.2/100</f>
        <v>0</v>
      </c>
      <c r="AO45" s="187"/>
      <c r="AP45" s="187"/>
      <c r="AQ45" s="188">
        <f t="shared" si="5"/>
        <v>0</v>
      </c>
      <c r="AR45" s="188"/>
      <c r="AS45" s="188">
        <f t="shared" si="14"/>
        <v>0</v>
      </c>
      <c r="AT45" s="187"/>
      <c r="AU45" s="187"/>
      <c r="AV45" s="328">
        <f t="shared" si="6"/>
        <v>424101.692109375</v>
      </c>
    </row>
    <row r="46" s="428" customFormat="1" ht="45.75" customHeight="1" spans="1:48">
      <c r="A46" s="142">
        <v>3</v>
      </c>
      <c r="B46" s="432" t="s">
        <v>106</v>
      </c>
      <c r="C46" s="145" t="s">
        <v>107</v>
      </c>
      <c r="D46" s="145" t="s">
        <v>98</v>
      </c>
      <c r="E46" s="145" t="s">
        <v>108</v>
      </c>
      <c r="F46" s="146" t="s">
        <v>100</v>
      </c>
      <c r="G46" s="147">
        <v>5.32</v>
      </c>
      <c r="H46" s="148" t="s">
        <v>109</v>
      </c>
      <c r="I46" s="186">
        <f>17697*G46</f>
        <v>94148.04</v>
      </c>
      <c r="J46" s="186">
        <f>I46*0.25</f>
        <v>23537.01</v>
      </c>
      <c r="K46" s="186">
        <f>(I46+J46)*0.5</f>
        <v>58842.525</v>
      </c>
      <c r="L46" s="186">
        <f>(I46+J46)*1.5</f>
        <v>176527.575</v>
      </c>
      <c r="M46" s="186"/>
      <c r="N46" s="444">
        <v>4</v>
      </c>
      <c r="O46" s="188">
        <v>4</v>
      </c>
      <c r="P46" s="444"/>
      <c r="Q46" s="191">
        <f t="shared" si="1"/>
        <v>0</v>
      </c>
      <c r="R46" s="191">
        <f t="shared" si="7"/>
        <v>44131.89375</v>
      </c>
      <c r="S46" s="191">
        <f t="shared" si="8"/>
        <v>44131.89375</v>
      </c>
      <c r="T46" s="191">
        <f t="shared" si="9"/>
        <v>0</v>
      </c>
      <c r="U46" s="191">
        <f t="shared" si="2"/>
        <v>88263.7875</v>
      </c>
      <c r="V46" s="223">
        <f t="shared" si="3"/>
        <v>8826.37875</v>
      </c>
      <c r="W46" s="444"/>
      <c r="X46" s="192">
        <f t="shared" si="4"/>
        <v>0</v>
      </c>
      <c r="Y46" s="187">
        <f>N46+O46+P46</f>
        <v>8</v>
      </c>
      <c r="Z46" s="186">
        <f t="shared" si="10"/>
        <v>26479.13625</v>
      </c>
      <c r="AA46" s="266">
        <v>8</v>
      </c>
      <c r="AB46" s="191">
        <v>40</v>
      </c>
      <c r="AC46" s="186">
        <f t="shared" si="11"/>
        <v>35305.515</v>
      </c>
      <c r="AD46" s="186"/>
      <c r="AE46" s="267"/>
      <c r="AF46" s="444"/>
      <c r="AG46" s="192">
        <f t="shared" si="12"/>
        <v>0</v>
      </c>
      <c r="AH46" s="192">
        <f t="shared" si="13"/>
        <v>0</v>
      </c>
      <c r="AI46" s="192"/>
      <c r="AJ46" s="192"/>
      <c r="AK46" s="187">
        <f>SUM($I$35*AI46)*0.5</f>
        <v>0</v>
      </c>
      <c r="AL46" s="187">
        <f>SUM($I$35*AJ46)*0.6</f>
        <v>0</v>
      </c>
      <c r="AM46" s="187"/>
      <c r="AN46" s="187">
        <f>SUM($I$35*AM46)*0.2/100</f>
        <v>0</v>
      </c>
      <c r="AO46" s="444"/>
      <c r="AP46" s="444"/>
      <c r="AQ46" s="188">
        <f t="shared" si="5"/>
        <v>0</v>
      </c>
      <c r="AR46" s="188"/>
      <c r="AS46" s="188">
        <f t="shared" si="14"/>
        <v>0</v>
      </c>
      <c r="AT46" s="444"/>
      <c r="AU46" s="444"/>
      <c r="AV46" s="328">
        <f t="shared" si="6"/>
        <v>158874.8175</v>
      </c>
    </row>
    <row r="47" s="428" customFormat="1" ht="45.75" customHeight="1" spans="1:48">
      <c r="A47" s="142">
        <v>4</v>
      </c>
      <c r="B47" s="143" t="s">
        <v>110</v>
      </c>
      <c r="C47" s="145" t="s">
        <v>111</v>
      </c>
      <c r="D47" s="145" t="s">
        <v>98</v>
      </c>
      <c r="E47" s="145" t="s">
        <v>112</v>
      </c>
      <c r="F47" s="147" t="s">
        <v>100</v>
      </c>
      <c r="G47" s="147">
        <v>5.41</v>
      </c>
      <c r="H47" s="148" t="s">
        <v>113</v>
      </c>
      <c r="I47" s="186">
        <f t="shared" ref="I47:I68" si="15">17697*G47</f>
        <v>95740.77</v>
      </c>
      <c r="J47" s="186">
        <f t="shared" ref="J47:J68" si="16">I47*0.25</f>
        <v>23935.1925</v>
      </c>
      <c r="K47" s="186">
        <f t="shared" ref="K47:K63" si="17">(I47+J47)*0.5</f>
        <v>59837.98125</v>
      </c>
      <c r="L47" s="186">
        <f t="shared" ref="L47:L68" si="18">(I47+J47)*1.5</f>
        <v>179513.94375</v>
      </c>
      <c r="M47" s="186"/>
      <c r="N47" s="188">
        <v>20</v>
      </c>
      <c r="O47" s="188"/>
      <c r="P47" s="188"/>
      <c r="Q47" s="191">
        <f t="shared" si="1"/>
        <v>0</v>
      </c>
      <c r="R47" s="191">
        <f t="shared" si="7"/>
        <v>224392.4296875</v>
      </c>
      <c r="S47" s="191">
        <f t="shared" si="8"/>
        <v>0</v>
      </c>
      <c r="T47" s="191">
        <f t="shared" si="9"/>
        <v>0</v>
      </c>
      <c r="U47" s="191">
        <f t="shared" si="2"/>
        <v>224392.4296875</v>
      </c>
      <c r="V47" s="224">
        <f t="shared" si="3"/>
        <v>22439.24296875</v>
      </c>
      <c r="W47" s="188"/>
      <c r="X47" s="192">
        <f t="shared" si="4"/>
        <v>0</v>
      </c>
      <c r="Y47" s="187">
        <v>20</v>
      </c>
      <c r="Z47" s="186">
        <f t="shared" si="10"/>
        <v>67317.72890625</v>
      </c>
      <c r="AA47" s="189"/>
      <c r="AB47" s="191">
        <v>0</v>
      </c>
      <c r="AC47" s="186">
        <f t="shared" si="11"/>
        <v>0</v>
      </c>
      <c r="AD47" s="189"/>
      <c r="AE47" s="267">
        <v>16</v>
      </c>
      <c r="AF47" s="188"/>
      <c r="AG47" s="192">
        <f t="shared" si="12"/>
        <v>7078.8</v>
      </c>
      <c r="AH47" s="192">
        <f t="shared" si="13"/>
        <v>0</v>
      </c>
      <c r="AI47" s="192">
        <v>1</v>
      </c>
      <c r="AJ47" s="192"/>
      <c r="AK47" s="187">
        <f>SUM($I$35*AI47)*0.5</f>
        <v>8848.5</v>
      </c>
      <c r="AL47" s="187">
        <f t="shared" ref="AL47:AL67" si="19">SUM($I$35*AJ47)*0.6</f>
        <v>0</v>
      </c>
      <c r="AM47" s="187"/>
      <c r="AN47" s="187">
        <f t="shared" ref="AN47:AN59" si="20">SUM($I$35*AM47)*0.2/100</f>
        <v>0</v>
      </c>
      <c r="AO47" s="188"/>
      <c r="AP47" s="188"/>
      <c r="AQ47" s="188">
        <f t="shared" si="5"/>
        <v>0</v>
      </c>
      <c r="AR47" s="188"/>
      <c r="AS47" s="188">
        <f t="shared" si="14"/>
        <v>0</v>
      </c>
      <c r="AT47" s="188"/>
      <c r="AU47" s="188"/>
      <c r="AV47" s="328">
        <f t="shared" si="6"/>
        <v>330076.7015625</v>
      </c>
    </row>
    <row r="48" s="428" customFormat="1" ht="45.75" customHeight="1" spans="1:48">
      <c r="A48" s="433">
        <v>5</v>
      </c>
      <c r="B48" s="432" t="s">
        <v>114</v>
      </c>
      <c r="C48" s="145" t="s">
        <v>115</v>
      </c>
      <c r="D48" s="145" t="s">
        <v>98</v>
      </c>
      <c r="E48" s="145" t="s">
        <v>112</v>
      </c>
      <c r="F48" s="147" t="s">
        <v>100</v>
      </c>
      <c r="G48" s="147">
        <v>5.41</v>
      </c>
      <c r="H48" s="148" t="s">
        <v>116</v>
      </c>
      <c r="I48" s="186">
        <f t="shared" si="15"/>
        <v>95740.77</v>
      </c>
      <c r="J48" s="186">
        <f t="shared" si="16"/>
        <v>23935.1925</v>
      </c>
      <c r="K48" s="186">
        <f t="shared" si="17"/>
        <v>59837.98125</v>
      </c>
      <c r="L48" s="186">
        <f t="shared" si="18"/>
        <v>179513.94375</v>
      </c>
      <c r="M48" s="186"/>
      <c r="N48" s="444">
        <v>10</v>
      </c>
      <c r="O48" s="188">
        <v>15</v>
      </c>
      <c r="P48" s="444">
        <v>3</v>
      </c>
      <c r="Q48" s="191">
        <f t="shared" si="1"/>
        <v>0</v>
      </c>
      <c r="R48" s="191">
        <f t="shared" si="7"/>
        <v>112196.21484375</v>
      </c>
      <c r="S48" s="191">
        <f t="shared" si="8"/>
        <v>168294.322265625</v>
      </c>
      <c r="T48" s="191">
        <f t="shared" si="9"/>
        <v>33658.864453125</v>
      </c>
      <c r="U48" s="191">
        <f t="shared" si="2"/>
        <v>314149.4015625</v>
      </c>
      <c r="V48" s="224">
        <f t="shared" si="3"/>
        <v>31414.94015625</v>
      </c>
      <c r="W48" s="444"/>
      <c r="X48" s="192">
        <f t="shared" si="4"/>
        <v>0</v>
      </c>
      <c r="Y48" s="187">
        <v>28</v>
      </c>
      <c r="Z48" s="186">
        <f t="shared" si="10"/>
        <v>94244.82046875</v>
      </c>
      <c r="AA48" s="189"/>
      <c r="AB48" s="191"/>
      <c r="AC48" s="186">
        <f t="shared" si="11"/>
        <v>0</v>
      </c>
      <c r="AD48" s="186"/>
      <c r="AE48" s="267">
        <v>16.75</v>
      </c>
      <c r="AF48" s="444"/>
      <c r="AG48" s="192">
        <f t="shared" si="12"/>
        <v>7410.61875</v>
      </c>
      <c r="AH48" s="192">
        <f t="shared" si="13"/>
        <v>0</v>
      </c>
      <c r="AI48" s="192"/>
      <c r="AJ48" s="192">
        <v>1</v>
      </c>
      <c r="AK48" s="187"/>
      <c r="AL48" s="187">
        <f t="shared" si="19"/>
        <v>10618.2</v>
      </c>
      <c r="AM48" s="187"/>
      <c r="AN48" s="187">
        <f t="shared" si="20"/>
        <v>0</v>
      </c>
      <c r="AO48" s="444"/>
      <c r="AP48" s="444"/>
      <c r="AQ48" s="188">
        <f t="shared" si="5"/>
        <v>0</v>
      </c>
      <c r="AR48" s="188"/>
      <c r="AS48" s="188">
        <f t="shared" si="14"/>
        <v>0</v>
      </c>
      <c r="AT48" s="444"/>
      <c r="AU48" s="444"/>
      <c r="AV48" s="328">
        <f t="shared" si="6"/>
        <v>457837.9809375</v>
      </c>
    </row>
    <row r="49" s="118" customFormat="1" ht="45.75" customHeight="1" spans="1:48">
      <c r="A49" s="434">
        <v>6</v>
      </c>
      <c r="B49" s="143" t="s">
        <v>117</v>
      </c>
      <c r="C49" s="145" t="s">
        <v>118</v>
      </c>
      <c r="D49" s="145" t="s">
        <v>98</v>
      </c>
      <c r="E49" s="145" t="s">
        <v>119</v>
      </c>
      <c r="F49" s="147" t="s">
        <v>120</v>
      </c>
      <c r="G49" s="147">
        <v>4.65</v>
      </c>
      <c r="H49" s="148" t="s">
        <v>121</v>
      </c>
      <c r="I49" s="186">
        <f t="shared" si="15"/>
        <v>82291.05</v>
      </c>
      <c r="J49" s="186">
        <f t="shared" si="16"/>
        <v>20572.7625</v>
      </c>
      <c r="K49" s="186">
        <f t="shared" si="17"/>
        <v>51431.90625</v>
      </c>
      <c r="L49" s="186">
        <f t="shared" si="18"/>
        <v>154295.71875</v>
      </c>
      <c r="M49" s="186"/>
      <c r="N49" s="188"/>
      <c r="O49" s="188">
        <v>16</v>
      </c>
      <c r="P49" s="188">
        <v>8</v>
      </c>
      <c r="Q49" s="191">
        <f t="shared" si="1"/>
        <v>0</v>
      </c>
      <c r="R49" s="191">
        <f t="shared" si="7"/>
        <v>0</v>
      </c>
      <c r="S49" s="191">
        <f t="shared" si="8"/>
        <v>154295.71875</v>
      </c>
      <c r="T49" s="191">
        <f t="shared" si="9"/>
        <v>77147.859375</v>
      </c>
      <c r="U49" s="191">
        <f t="shared" si="2"/>
        <v>231443.578125</v>
      </c>
      <c r="V49" s="224">
        <f t="shared" ref="V49:V67" si="21">U49*0.1</f>
        <v>23144.3578125</v>
      </c>
      <c r="W49" s="188"/>
      <c r="X49" s="192">
        <f t="shared" si="4"/>
        <v>0</v>
      </c>
      <c r="Y49" s="187">
        <f>N49+O49+P49</f>
        <v>24</v>
      </c>
      <c r="Z49" s="186">
        <f t="shared" si="10"/>
        <v>69433.0734375</v>
      </c>
      <c r="AA49" s="266">
        <v>24</v>
      </c>
      <c r="AB49" s="268">
        <v>35</v>
      </c>
      <c r="AC49" s="186">
        <f t="shared" si="11"/>
        <v>81005.25234375</v>
      </c>
      <c r="AD49" s="189"/>
      <c r="AE49" s="267">
        <v>5.4</v>
      </c>
      <c r="AF49" s="188"/>
      <c r="AG49" s="192">
        <f t="shared" si="12"/>
        <v>2389.095</v>
      </c>
      <c r="AH49" s="192">
        <f t="shared" si="13"/>
        <v>0</v>
      </c>
      <c r="AI49" s="192"/>
      <c r="AJ49" s="305">
        <v>0.5</v>
      </c>
      <c r="AK49" s="187">
        <f>SUM($I$35*AI49)*0.5</f>
        <v>0</v>
      </c>
      <c r="AL49" s="187">
        <f t="shared" si="19"/>
        <v>5309.1</v>
      </c>
      <c r="AM49" s="187"/>
      <c r="AN49" s="187">
        <f t="shared" si="20"/>
        <v>0</v>
      </c>
      <c r="AO49" s="447"/>
      <c r="AP49" s="447">
        <v>10</v>
      </c>
      <c r="AQ49" s="188">
        <f t="shared" si="5"/>
        <v>29170</v>
      </c>
      <c r="AR49" s="188"/>
      <c r="AS49" s="188">
        <f t="shared" si="14"/>
        <v>0</v>
      </c>
      <c r="AT49" s="188"/>
      <c r="AU49" s="188"/>
      <c r="AV49" s="328">
        <f t="shared" si="6"/>
        <v>441894.45671875</v>
      </c>
    </row>
    <row r="50" s="118" customFormat="1" ht="54" customHeight="1" spans="1:48">
      <c r="A50" s="142">
        <v>7</v>
      </c>
      <c r="B50" s="432" t="s">
        <v>122</v>
      </c>
      <c r="C50" s="145" t="s">
        <v>97</v>
      </c>
      <c r="D50" s="145" t="s">
        <v>98</v>
      </c>
      <c r="E50" s="145" t="s">
        <v>123</v>
      </c>
      <c r="F50" s="147" t="s">
        <v>120</v>
      </c>
      <c r="G50" s="147">
        <v>4.95</v>
      </c>
      <c r="H50" s="435">
        <v>15</v>
      </c>
      <c r="I50" s="186">
        <f t="shared" si="15"/>
        <v>87600.15</v>
      </c>
      <c r="J50" s="186">
        <f t="shared" si="16"/>
        <v>21900.0375</v>
      </c>
      <c r="K50" s="186">
        <f t="shared" si="17"/>
        <v>54750.09375</v>
      </c>
      <c r="L50" s="186">
        <f t="shared" si="18"/>
        <v>164250.28125</v>
      </c>
      <c r="M50" s="186"/>
      <c r="N50" s="188"/>
      <c r="O50" s="188">
        <v>2</v>
      </c>
      <c r="P50" s="188">
        <v>7</v>
      </c>
      <c r="Q50" s="191"/>
      <c r="R50" s="191">
        <f t="shared" si="7"/>
        <v>0</v>
      </c>
      <c r="S50" s="191">
        <f t="shared" si="8"/>
        <v>20531.28515625</v>
      </c>
      <c r="T50" s="191">
        <f t="shared" si="9"/>
        <v>71859.498046875</v>
      </c>
      <c r="U50" s="191">
        <f t="shared" si="2"/>
        <v>92390.783203125</v>
      </c>
      <c r="V50" s="224">
        <f t="shared" si="21"/>
        <v>9239.0783203125</v>
      </c>
      <c r="W50" s="188"/>
      <c r="X50" s="192">
        <f t="shared" si="4"/>
        <v>0</v>
      </c>
      <c r="Y50" s="187">
        <v>9</v>
      </c>
      <c r="Z50" s="186">
        <f t="shared" si="10"/>
        <v>27717.2349609375</v>
      </c>
      <c r="AA50" s="189">
        <v>9</v>
      </c>
      <c r="AB50" s="268">
        <v>35</v>
      </c>
      <c r="AC50" s="186">
        <f t="shared" si="11"/>
        <v>32336.7741210938</v>
      </c>
      <c r="AD50" s="189"/>
      <c r="AE50" s="267"/>
      <c r="AF50" s="188">
        <v>1.25</v>
      </c>
      <c r="AG50" s="192">
        <f t="shared" si="12"/>
        <v>0</v>
      </c>
      <c r="AH50" s="192">
        <f t="shared" si="13"/>
        <v>691.2890625</v>
      </c>
      <c r="AI50" s="192"/>
      <c r="AJ50" s="305"/>
      <c r="AK50" s="187"/>
      <c r="AL50" s="187">
        <f t="shared" si="19"/>
        <v>0</v>
      </c>
      <c r="AM50" s="187"/>
      <c r="AN50" s="187">
        <f t="shared" si="20"/>
        <v>0</v>
      </c>
      <c r="AO50" s="447"/>
      <c r="AP50" s="447"/>
      <c r="AQ50" s="188">
        <f t="shared" si="5"/>
        <v>0</v>
      </c>
      <c r="AR50" s="188"/>
      <c r="AS50" s="188">
        <f t="shared" si="14"/>
        <v>0</v>
      </c>
      <c r="AT50" s="188"/>
      <c r="AU50" s="188"/>
      <c r="AV50" s="328">
        <f t="shared" si="6"/>
        <v>162375.159667969</v>
      </c>
    </row>
    <row r="51" s="118" customFormat="1" ht="45.75" customHeight="1" spans="1:48">
      <c r="A51" s="142">
        <v>8</v>
      </c>
      <c r="B51" s="436" t="s">
        <v>124</v>
      </c>
      <c r="C51" s="144" t="s">
        <v>111</v>
      </c>
      <c r="D51" s="145" t="s">
        <v>98</v>
      </c>
      <c r="E51" s="144" t="s">
        <v>123</v>
      </c>
      <c r="F51" s="154" t="s">
        <v>120</v>
      </c>
      <c r="G51" s="154">
        <v>5.12</v>
      </c>
      <c r="H51" s="155" t="s">
        <v>109</v>
      </c>
      <c r="I51" s="186">
        <f t="shared" si="15"/>
        <v>90608.64</v>
      </c>
      <c r="J51" s="186">
        <f t="shared" si="16"/>
        <v>22652.16</v>
      </c>
      <c r="K51" s="186">
        <f t="shared" si="17"/>
        <v>56630.4</v>
      </c>
      <c r="L51" s="186">
        <f t="shared" si="18"/>
        <v>169891.2</v>
      </c>
      <c r="M51" s="186"/>
      <c r="N51" s="188">
        <v>20</v>
      </c>
      <c r="O51" s="188"/>
      <c r="P51" s="188"/>
      <c r="Q51" s="191">
        <f>M51/24*L51</f>
        <v>0</v>
      </c>
      <c r="R51" s="191">
        <f t="shared" si="7"/>
        <v>212364</v>
      </c>
      <c r="S51" s="191">
        <f t="shared" si="8"/>
        <v>0</v>
      </c>
      <c r="T51" s="191">
        <f t="shared" si="9"/>
        <v>0</v>
      </c>
      <c r="U51" s="191">
        <f t="shared" si="2"/>
        <v>212364</v>
      </c>
      <c r="V51" s="224">
        <f t="shared" si="21"/>
        <v>21236.4</v>
      </c>
      <c r="W51" s="188"/>
      <c r="X51" s="192">
        <f t="shared" si="4"/>
        <v>0</v>
      </c>
      <c r="Y51" s="187">
        <f>N51+O51+P51</f>
        <v>20</v>
      </c>
      <c r="Z51" s="186">
        <f t="shared" si="10"/>
        <v>63709.2</v>
      </c>
      <c r="AA51" s="189">
        <v>20</v>
      </c>
      <c r="AB51" s="268">
        <v>35</v>
      </c>
      <c r="AC51" s="186">
        <f t="shared" si="11"/>
        <v>74327.4</v>
      </c>
      <c r="AD51" s="189"/>
      <c r="AE51" s="267">
        <v>4</v>
      </c>
      <c r="AF51" s="188"/>
      <c r="AG51" s="192">
        <f t="shared" si="12"/>
        <v>1769.7</v>
      </c>
      <c r="AH51" s="192">
        <f t="shared" si="13"/>
        <v>0</v>
      </c>
      <c r="AI51" s="305">
        <v>0.5</v>
      </c>
      <c r="AJ51" s="305"/>
      <c r="AK51" s="187">
        <f t="shared" ref="AK51:AK56" si="22">SUM($I$35*AI51)*0.5</f>
        <v>4424.25</v>
      </c>
      <c r="AL51" s="187">
        <f t="shared" si="19"/>
        <v>0</v>
      </c>
      <c r="AM51" s="187"/>
      <c r="AN51" s="187">
        <f t="shared" si="20"/>
        <v>0</v>
      </c>
      <c r="AO51" s="188"/>
      <c r="AP51" s="188"/>
      <c r="AQ51" s="188">
        <f t="shared" si="5"/>
        <v>0</v>
      </c>
      <c r="AR51" s="188"/>
      <c r="AS51" s="188">
        <f t="shared" si="14"/>
        <v>0</v>
      </c>
      <c r="AT51" s="188"/>
      <c r="AU51" s="188"/>
      <c r="AV51" s="328">
        <f t="shared" si="6"/>
        <v>377830.95</v>
      </c>
    </row>
    <row r="52" s="118" customFormat="1" ht="45.75" customHeight="1" spans="1:48">
      <c r="A52" s="142">
        <v>9</v>
      </c>
      <c r="B52" s="437" t="s">
        <v>125</v>
      </c>
      <c r="C52" s="144" t="s">
        <v>111</v>
      </c>
      <c r="D52" s="145" t="s">
        <v>98</v>
      </c>
      <c r="E52" s="144" t="s">
        <v>123</v>
      </c>
      <c r="F52" s="154" t="s">
        <v>120</v>
      </c>
      <c r="G52" s="147">
        <v>4.79</v>
      </c>
      <c r="H52" s="435">
        <v>9.6</v>
      </c>
      <c r="I52" s="186">
        <f t="shared" si="15"/>
        <v>84768.63</v>
      </c>
      <c r="J52" s="186">
        <f t="shared" si="16"/>
        <v>21192.1575</v>
      </c>
      <c r="K52" s="186">
        <f t="shared" si="17"/>
        <v>52980.39375</v>
      </c>
      <c r="L52" s="186">
        <f t="shared" si="18"/>
        <v>158941.18125</v>
      </c>
      <c r="M52" s="186"/>
      <c r="N52" s="188">
        <v>17</v>
      </c>
      <c r="O52" s="188"/>
      <c r="P52" s="188"/>
      <c r="Q52" s="191">
        <f>M52/24*L52</f>
        <v>0</v>
      </c>
      <c r="R52" s="191">
        <f t="shared" si="7"/>
        <v>168875.005078125</v>
      </c>
      <c r="S52" s="191">
        <f t="shared" si="8"/>
        <v>0</v>
      </c>
      <c r="T52" s="191">
        <f t="shared" si="9"/>
        <v>0</v>
      </c>
      <c r="U52" s="191">
        <f t="shared" si="2"/>
        <v>168875.005078125</v>
      </c>
      <c r="V52" s="224">
        <f t="shared" si="21"/>
        <v>16887.5005078125</v>
      </c>
      <c r="W52" s="188">
        <v>17</v>
      </c>
      <c r="X52" s="192">
        <f t="shared" si="4"/>
        <v>7521.225</v>
      </c>
      <c r="Y52" s="187">
        <v>17</v>
      </c>
      <c r="Z52" s="186">
        <f t="shared" si="10"/>
        <v>50662.5015234375</v>
      </c>
      <c r="AA52" s="189">
        <v>17</v>
      </c>
      <c r="AB52" s="268">
        <v>35</v>
      </c>
      <c r="AC52" s="186">
        <f t="shared" si="11"/>
        <v>59106.2517773438</v>
      </c>
      <c r="AD52" s="189"/>
      <c r="AE52" s="267">
        <v>8</v>
      </c>
      <c r="AF52" s="188"/>
      <c r="AG52" s="192">
        <f t="shared" si="12"/>
        <v>3539.4</v>
      </c>
      <c r="AH52" s="192">
        <f t="shared" si="13"/>
        <v>0</v>
      </c>
      <c r="AI52" s="305">
        <v>0.5</v>
      </c>
      <c r="AJ52" s="305"/>
      <c r="AK52" s="187">
        <f t="shared" si="22"/>
        <v>4424.25</v>
      </c>
      <c r="AL52" s="187">
        <f t="shared" si="19"/>
        <v>0</v>
      </c>
      <c r="AM52" s="187"/>
      <c r="AN52" s="187">
        <f t="shared" si="20"/>
        <v>0</v>
      </c>
      <c r="AO52" s="188"/>
      <c r="AP52" s="188"/>
      <c r="AQ52" s="188">
        <f t="shared" si="5"/>
        <v>0</v>
      </c>
      <c r="AR52" s="188"/>
      <c r="AS52" s="188">
        <f t="shared" si="14"/>
        <v>0</v>
      </c>
      <c r="AT52" s="188"/>
      <c r="AU52" s="188"/>
      <c r="AV52" s="328">
        <f t="shared" si="6"/>
        <v>311016.133886719</v>
      </c>
    </row>
    <row r="53" s="118" customFormat="1" ht="45.75" customHeight="1" spans="1:48">
      <c r="A53" s="142">
        <v>10</v>
      </c>
      <c r="B53" s="436" t="s">
        <v>126</v>
      </c>
      <c r="C53" s="144" t="s">
        <v>103</v>
      </c>
      <c r="D53" s="144" t="s">
        <v>98</v>
      </c>
      <c r="E53" s="144" t="s">
        <v>123</v>
      </c>
      <c r="F53" s="154" t="s">
        <v>120</v>
      </c>
      <c r="G53" s="438">
        <v>5.2</v>
      </c>
      <c r="H53" s="435">
        <v>41.5</v>
      </c>
      <c r="I53" s="186">
        <f t="shared" si="15"/>
        <v>92024.4</v>
      </c>
      <c r="J53" s="186">
        <f t="shared" si="16"/>
        <v>23006.1</v>
      </c>
      <c r="K53" s="186">
        <f t="shared" si="17"/>
        <v>57515.25</v>
      </c>
      <c r="L53" s="186">
        <f t="shared" si="18"/>
        <v>172545.75</v>
      </c>
      <c r="M53" s="186"/>
      <c r="N53" s="188">
        <v>8</v>
      </c>
      <c r="O53" s="188">
        <v>15</v>
      </c>
      <c r="P53" s="188">
        <v>4</v>
      </c>
      <c r="Q53" s="191">
        <f>M53/24*L53</f>
        <v>0</v>
      </c>
      <c r="R53" s="191">
        <f t="shared" si="7"/>
        <v>86272.875</v>
      </c>
      <c r="S53" s="191">
        <f t="shared" si="8"/>
        <v>161761.640625</v>
      </c>
      <c r="T53" s="191">
        <f t="shared" si="9"/>
        <v>43136.4375</v>
      </c>
      <c r="U53" s="191">
        <f t="shared" si="2"/>
        <v>291170.953125</v>
      </c>
      <c r="V53" s="224">
        <f t="shared" si="21"/>
        <v>29117.0953125</v>
      </c>
      <c r="W53" s="188"/>
      <c r="X53" s="192">
        <f t="shared" si="4"/>
        <v>0</v>
      </c>
      <c r="Y53" s="187">
        <v>27</v>
      </c>
      <c r="Z53" s="186">
        <f t="shared" si="10"/>
        <v>87351.2859375</v>
      </c>
      <c r="AA53" s="266">
        <v>27</v>
      </c>
      <c r="AB53" s="268">
        <v>35</v>
      </c>
      <c r="AC53" s="186">
        <f t="shared" si="11"/>
        <v>101909.83359375</v>
      </c>
      <c r="AD53" s="189"/>
      <c r="AE53" s="267"/>
      <c r="AF53" s="188">
        <v>7.9</v>
      </c>
      <c r="AG53" s="192">
        <f t="shared" si="12"/>
        <v>0</v>
      </c>
      <c r="AH53" s="192">
        <f t="shared" si="13"/>
        <v>4368.946875</v>
      </c>
      <c r="AI53" s="192"/>
      <c r="AJ53" s="305"/>
      <c r="AK53" s="187">
        <f t="shared" si="22"/>
        <v>0</v>
      </c>
      <c r="AL53" s="187">
        <f t="shared" si="19"/>
        <v>0</v>
      </c>
      <c r="AM53" s="187"/>
      <c r="AN53" s="187">
        <f t="shared" si="20"/>
        <v>0</v>
      </c>
      <c r="AO53" s="188"/>
      <c r="AP53" s="188"/>
      <c r="AQ53" s="188">
        <f t="shared" si="5"/>
        <v>0</v>
      </c>
      <c r="AR53" s="188"/>
      <c r="AS53" s="188">
        <f t="shared" si="14"/>
        <v>0</v>
      </c>
      <c r="AT53" s="188"/>
      <c r="AU53" s="188"/>
      <c r="AV53" s="328">
        <f t="shared" si="6"/>
        <v>513918.11484375</v>
      </c>
    </row>
    <row r="54" s="118" customFormat="1" ht="45.75" customHeight="1" spans="1:48">
      <c r="A54" s="142">
        <v>11</v>
      </c>
      <c r="B54" s="432" t="s">
        <v>127</v>
      </c>
      <c r="C54" s="144" t="s">
        <v>128</v>
      </c>
      <c r="D54" s="144" t="s">
        <v>98</v>
      </c>
      <c r="E54" s="144" t="s">
        <v>123</v>
      </c>
      <c r="F54" s="154" t="s">
        <v>120</v>
      </c>
      <c r="G54" s="438">
        <v>5.3</v>
      </c>
      <c r="H54" s="435">
        <v>17.9</v>
      </c>
      <c r="I54" s="186">
        <f t="shared" si="15"/>
        <v>93794.1</v>
      </c>
      <c r="J54" s="186">
        <f t="shared" si="16"/>
        <v>23448.525</v>
      </c>
      <c r="K54" s="186">
        <f t="shared" si="17"/>
        <v>58621.3125</v>
      </c>
      <c r="L54" s="186">
        <f t="shared" si="18"/>
        <v>175863.9375</v>
      </c>
      <c r="M54" s="186"/>
      <c r="N54" s="188"/>
      <c r="O54" s="188">
        <v>5</v>
      </c>
      <c r="P54" s="188">
        <v>4</v>
      </c>
      <c r="Q54" s="191"/>
      <c r="R54" s="191">
        <f t="shared" si="7"/>
        <v>0</v>
      </c>
      <c r="S54" s="191">
        <f t="shared" si="8"/>
        <v>54957.48046875</v>
      </c>
      <c r="T54" s="191">
        <f t="shared" si="9"/>
        <v>43965.984375</v>
      </c>
      <c r="U54" s="191">
        <f t="shared" si="2"/>
        <v>98923.46484375</v>
      </c>
      <c r="V54" s="224">
        <f t="shared" si="21"/>
        <v>9892.346484375</v>
      </c>
      <c r="W54" s="188"/>
      <c r="X54" s="192">
        <f t="shared" si="4"/>
        <v>0</v>
      </c>
      <c r="Y54" s="187">
        <v>9</v>
      </c>
      <c r="Z54" s="186">
        <f t="shared" si="10"/>
        <v>29677.039453125</v>
      </c>
      <c r="AA54" s="266">
        <v>9</v>
      </c>
      <c r="AB54" s="268">
        <v>35</v>
      </c>
      <c r="AC54" s="186">
        <f t="shared" si="11"/>
        <v>34623.2126953125</v>
      </c>
      <c r="AD54" s="189"/>
      <c r="AE54" s="267">
        <v>2.5</v>
      </c>
      <c r="AF54" s="188"/>
      <c r="AG54" s="192">
        <f t="shared" si="12"/>
        <v>1106.0625</v>
      </c>
      <c r="AH54" s="192">
        <f t="shared" si="13"/>
        <v>0</v>
      </c>
      <c r="AI54" s="192"/>
      <c r="AJ54" s="305"/>
      <c r="AK54" s="187">
        <f t="shared" si="22"/>
        <v>0</v>
      </c>
      <c r="AL54" s="187">
        <f t="shared" si="19"/>
        <v>0</v>
      </c>
      <c r="AM54" s="187"/>
      <c r="AN54" s="187">
        <f t="shared" si="20"/>
        <v>0</v>
      </c>
      <c r="AO54" s="188"/>
      <c r="AP54" s="188"/>
      <c r="AQ54" s="188">
        <f t="shared" si="5"/>
        <v>0</v>
      </c>
      <c r="AR54" s="188"/>
      <c r="AS54" s="188">
        <f t="shared" si="14"/>
        <v>0</v>
      </c>
      <c r="AT54" s="188"/>
      <c r="AU54" s="188"/>
      <c r="AV54" s="328">
        <f t="shared" si="6"/>
        <v>174222.125976562</v>
      </c>
    </row>
    <row r="55" s="118" customFormat="1" ht="45.75" customHeight="1" spans="1:48">
      <c r="A55" s="142"/>
      <c r="B55" s="439" t="s">
        <v>105</v>
      </c>
      <c r="C55" s="144" t="s">
        <v>128</v>
      </c>
      <c r="D55" s="144" t="s">
        <v>98</v>
      </c>
      <c r="E55" s="144" t="s">
        <v>123</v>
      </c>
      <c r="F55" s="154" t="s">
        <v>120</v>
      </c>
      <c r="G55" s="438">
        <v>5.3</v>
      </c>
      <c r="H55" s="435">
        <v>17.9</v>
      </c>
      <c r="I55" s="186">
        <f t="shared" si="15"/>
        <v>93794.1</v>
      </c>
      <c r="J55" s="186">
        <f t="shared" si="16"/>
        <v>23448.525</v>
      </c>
      <c r="K55" s="186">
        <f t="shared" si="17"/>
        <v>58621.3125</v>
      </c>
      <c r="L55" s="186">
        <f t="shared" si="18"/>
        <v>175863.9375</v>
      </c>
      <c r="M55" s="186"/>
      <c r="N55" s="188"/>
      <c r="O55" s="188">
        <v>6</v>
      </c>
      <c r="P55" s="188">
        <v>4</v>
      </c>
      <c r="Q55" s="191"/>
      <c r="R55" s="191">
        <f t="shared" si="7"/>
        <v>0</v>
      </c>
      <c r="S55" s="191">
        <f t="shared" si="8"/>
        <v>65948.9765625</v>
      </c>
      <c r="T55" s="191">
        <f t="shared" si="9"/>
        <v>43965.984375</v>
      </c>
      <c r="U55" s="191">
        <f t="shared" si="2"/>
        <v>109914.9609375</v>
      </c>
      <c r="V55" s="224">
        <f t="shared" si="21"/>
        <v>10991.49609375</v>
      </c>
      <c r="W55" s="188"/>
      <c r="X55" s="192">
        <f t="shared" si="4"/>
        <v>0</v>
      </c>
      <c r="Y55" s="187">
        <v>10</v>
      </c>
      <c r="Z55" s="186">
        <f t="shared" si="10"/>
        <v>32974.48828125</v>
      </c>
      <c r="AA55" s="189">
        <v>10</v>
      </c>
      <c r="AB55" s="268">
        <v>35</v>
      </c>
      <c r="AC55" s="186">
        <f t="shared" si="11"/>
        <v>38470.236328125</v>
      </c>
      <c r="AD55" s="189"/>
      <c r="AE55" s="267"/>
      <c r="AF55" s="188"/>
      <c r="AG55" s="192">
        <f t="shared" si="12"/>
        <v>0</v>
      </c>
      <c r="AH55" s="192">
        <f t="shared" si="13"/>
        <v>0</v>
      </c>
      <c r="AI55" s="192"/>
      <c r="AJ55" s="305"/>
      <c r="AK55" s="187">
        <f t="shared" si="22"/>
        <v>0</v>
      </c>
      <c r="AL55" s="187">
        <f t="shared" si="19"/>
        <v>0</v>
      </c>
      <c r="AM55" s="187"/>
      <c r="AN55" s="187">
        <f t="shared" si="20"/>
        <v>0</v>
      </c>
      <c r="AO55" s="188"/>
      <c r="AP55" s="188"/>
      <c r="AQ55" s="188">
        <f t="shared" si="5"/>
        <v>0</v>
      </c>
      <c r="AR55" s="188"/>
      <c r="AS55" s="188">
        <f t="shared" si="14"/>
        <v>0</v>
      </c>
      <c r="AT55" s="188"/>
      <c r="AU55" s="188"/>
      <c r="AV55" s="328">
        <f t="shared" si="6"/>
        <v>192351.181640625</v>
      </c>
    </row>
    <row r="56" s="118" customFormat="1" ht="45.75" customHeight="1" spans="1:48">
      <c r="A56" s="142">
        <v>12</v>
      </c>
      <c r="B56" s="437" t="s">
        <v>129</v>
      </c>
      <c r="C56" s="144" t="s">
        <v>111</v>
      </c>
      <c r="D56" s="145" t="s">
        <v>98</v>
      </c>
      <c r="E56" s="144" t="s">
        <v>123</v>
      </c>
      <c r="F56" s="154" t="s">
        <v>120</v>
      </c>
      <c r="G56" s="147">
        <v>4.86</v>
      </c>
      <c r="H56" s="438">
        <v>10.1</v>
      </c>
      <c r="I56" s="186">
        <f t="shared" si="15"/>
        <v>86007.42</v>
      </c>
      <c r="J56" s="186">
        <f t="shared" si="16"/>
        <v>21501.855</v>
      </c>
      <c r="K56" s="186">
        <f t="shared" si="17"/>
        <v>53754.6375</v>
      </c>
      <c r="L56" s="186">
        <f t="shared" si="18"/>
        <v>161263.9125</v>
      </c>
      <c r="M56" s="186"/>
      <c r="N56" s="188">
        <v>18</v>
      </c>
      <c r="O56" s="188"/>
      <c r="P56" s="188"/>
      <c r="Q56" s="191"/>
      <c r="R56" s="191">
        <f t="shared" si="7"/>
        <v>181421.9015625</v>
      </c>
      <c r="S56" s="191">
        <f t="shared" si="8"/>
        <v>0</v>
      </c>
      <c r="T56" s="191">
        <f t="shared" si="9"/>
        <v>0</v>
      </c>
      <c r="U56" s="191">
        <f t="shared" si="2"/>
        <v>181421.9015625</v>
      </c>
      <c r="V56" s="224">
        <f t="shared" si="21"/>
        <v>18142.19015625</v>
      </c>
      <c r="W56" s="188"/>
      <c r="X56" s="192">
        <f t="shared" si="4"/>
        <v>0</v>
      </c>
      <c r="Y56" s="187">
        <v>18</v>
      </c>
      <c r="Z56" s="186">
        <f t="shared" si="10"/>
        <v>54426.57046875</v>
      </c>
      <c r="AA56" s="189">
        <v>18</v>
      </c>
      <c r="AB56" s="268">
        <v>35</v>
      </c>
      <c r="AC56" s="186">
        <f t="shared" si="11"/>
        <v>63497.665546875</v>
      </c>
      <c r="AD56" s="189"/>
      <c r="AE56" s="267">
        <v>8</v>
      </c>
      <c r="AF56" s="188">
        <v>2.5</v>
      </c>
      <c r="AG56" s="192">
        <f t="shared" si="12"/>
        <v>3539.4</v>
      </c>
      <c r="AH56" s="192">
        <f t="shared" si="13"/>
        <v>1382.578125</v>
      </c>
      <c r="AI56" s="192">
        <v>1</v>
      </c>
      <c r="AJ56" s="305"/>
      <c r="AK56" s="187">
        <f t="shared" si="22"/>
        <v>8848.5</v>
      </c>
      <c r="AL56" s="187">
        <f t="shared" si="19"/>
        <v>0</v>
      </c>
      <c r="AM56" s="187"/>
      <c r="AN56" s="187">
        <f t="shared" si="20"/>
        <v>0</v>
      </c>
      <c r="AO56" s="188"/>
      <c r="AP56" s="188"/>
      <c r="AQ56" s="188">
        <f t="shared" si="5"/>
        <v>0</v>
      </c>
      <c r="AR56" s="188"/>
      <c r="AS56" s="188">
        <f t="shared" si="14"/>
        <v>0</v>
      </c>
      <c r="AT56" s="188"/>
      <c r="AU56" s="188"/>
      <c r="AV56" s="328">
        <f t="shared" si="6"/>
        <v>331258.805859375</v>
      </c>
    </row>
    <row r="57" s="118" customFormat="1" ht="45.75" customHeight="1" spans="1:48">
      <c r="A57" s="142">
        <v>13</v>
      </c>
      <c r="B57" s="437" t="s">
        <v>130</v>
      </c>
      <c r="C57" s="144" t="s">
        <v>128</v>
      </c>
      <c r="D57" s="145" t="s">
        <v>98</v>
      </c>
      <c r="E57" s="144" t="s">
        <v>123</v>
      </c>
      <c r="F57" s="154" t="s">
        <v>120</v>
      </c>
      <c r="G57" s="147">
        <v>4.86</v>
      </c>
      <c r="H57" s="438">
        <v>12.1</v>
      </c>
      <c r="I57" s="186">
        <f t="shared" si="15"/>
        <v>86007.42</v>
      </c>
      <c r="J57" s="186">
        <f t="shared" si="16"/>
        <v>21501.855</v>
      </c>
      <c r="K57" s="186">
        <f t="shared" si="17"/>
        <v>53754.6375</v>
      </c>
      <c r="L57" s="186">
        <f t="shared" si="18"/>
        <v>161263.9125</v>
      </c>
      <c r="M57" s="186"/>
      <c r="N57" s="188"/>
      <c r="O57" s="188">
        <v>6</v>
      </c>
      <c r="P57" s="188">
        <v>2</v>
      </c>
      <c r="Q57" s="191"/>
      <c r="R57" s="191">
        <f t="shared" si="7"/>
        <v>0</v>
      </c>
      <c r="S57" s="191">
        <f t="shared" si="8"/>
        <v>60473.9671875</v>
      </c>
      <c r="T57" s="191">
        <f t="shared" si="9"/>
        <v>20157.9890625</v>
      </c>
      <c r="U57" s="191">
        <f t="shared" si="2"/>
        <v>80631.95625</v>
      </c>
      <c r="V57" s="224">
        <f t="shared" si="21"/>
        <v>8063.195625</v>
      </c>
      <c r="W57" s="188"/>
      <c r="X57" s="192">
        <f t="shared" si="4"/>
        <v>0</v>
      </c>
      <c r="Y57" s="187">
        <v>8</v>
      </c>
      <c r="Z57" s="186">
        <f t="shared" si="10"/>
        <v>24189.586875</v>
      </c>
      <c r="AA57" s="189">
        <v>8</v>
      </c>
      <c r="AB57" s="268">
        <v>35</v>
      </c>
      <c r="AC57" s="186">
        <f t="shared" si="11"/>
        <v>28221.1846875</v>
      </c>
      <c r="AD57" s="189"/>
      <c r="AE57" s="267">
        <v>3</v>
      </c>
      <c r="AF57" s="188"/>
      <c r="AG57" s="192">
        <f t="shared" si="12"/>
        <v>1327.275</v>
      </c>
      <c r="AH57" s="192">
        <f t="shared" si="13"/>
        <v>0</v>
      </c>
      <c r="AI57" s="192"/>
      <c r="AJ57" s="305"/>
      <c r="AK57" s="187">
        <f t="shared" ref="AK57:AK67" si="23">SUM($I$35*AI57)*0.5</f>
        <v>0</v>
      </c>
      <c r="AL57" s="187">
        <f t="shared" si="19"/>
        <v>0</v>
      </c>
      <c r="AM57" s="187"/>
      <c r="AN57" s="187">
        <f t="shared" si="20"/>
        <v>0</v>
      </c>
      <c r="AO57" s="188"/>
      <c r="AP57" s="188"/>
      <c r="AQ57" s="188">
        <f t="shared" si="5"/>
        <v>0</v>
      </c>
      <c r="AR57" s="188"/>
      <c r="AS57" s="188">
        <f t="shared" si="14"/>
        <v>0</v>
      </c>
      <c r="AT57" s="188"/>
      <c r="AU57" s="188"/>
      <c r="AV57" s="328">
        <f t="shared" si="6"/>
        <v>142433.1984375</v>
      </c>
    </row>
    <row r="58" s="118" customFormat="1" ht="45.75" customHeight="1" spans="1:48">
      <c r="A58" s="142"/>
      <c r="B58" s="437" t="s">
        <v>105</v>
      </c>
      <c r="C58" s="144" t="s">
        <v>131</v>
      </c>
      <c r="D58" s="145" t="s">
        <v>98</v>
      </c>
      <c r="E58" s="144" t="s">
        <v>123</v>
      </c>
      <c r="F58" s="154" t="s">
        <v>120</v>
      </c>
      <c r="G58" s="147">
        <v>4.86</v>
      </c>
      <c r="H58" s="438" t="s">
        <v>132</v>
      </c>
      <c r="I58" s="186">
        <f t="shared" si="15"/>
        <v>86007.42</v>
      </c>
      <c r="J58" s="186">
        <f t="shared" si="16"/>
        <v>21501.855</v>
      </c>
      <c r="K58" s="186">
        <f t="shared" si="17"/>
        <v>53754.6375</v>
      </c>
      <c r="L58" s="186">
        <f t="shared" si="18"/>
        <v>161263.9125</v>
      </c>
      <c r="M58" s="186"/>
      <c r="N58" s="188"/>
      <c r="O58" s="188">
        <v>5</v>
      </c>
      <c r="P58" s="188"/>
      <c r="Q58" s="191"/>
      <c r="R58" s="191">
        <f t="shared" si="7"/>
        <v>0</v>
      </c>
      <c r="S58" s="191">
        <f t="shared" si="8"/>
        <v>50394.97265625</v>
      </c>
      <c r="T58" s="191">
        <f t="shared" si="9"/>
        <v>0</v>
      </c>
      <c r="U58" s="191">
        <f t="shared" si="2"/>
        <v>50394.97265625</v>
      </c>
      <c r="V58" s="224">
        <f t="shared" si="21"/>
        <v>5039.497265625</v>
      </c>
      <c r="W58" s="188"/>
      <c r="X58" s="192">
        <f t="shared" si="4"/>
        <v>0</v>
      </c>
      <c r="Y58" s="187">
        <v>5</v>
      </c>
      <c r="Z58" s="186">
        <f t="shared" si="10"/>
        <v>15118.491796875</v>
      </c>
      <c r="AA58" s="189">
        <v>5</v>
      </c>
      <c r="AB58" s="268">
        <v>35</v>
      </c>
      <c r="AC58" s="186">
        <f t="shared" si="11"/>
        <v>17638.2404296875</v>
      </c>
      <c r="AD58" s="189"/>
      <c r="AE58" s="267"/>
      <c r="AF58" s="188"/>
      <c r="AG58" s="192">
        <f t="shared" si="12"/>
        <v>0</v>
      </c>
      <c r="AH58" s="192">
        <f t="shared" si="13"/>
        <v>0</v>
      </c>
      <c r="AI58" s="192"/>
      <c r="AJ58" s="305"/>
      <c r="AK58" s="187">
        <f t="shared" si="23"/>
        <v>0</v>
      </c>
      <c r="AL58" s="187">
        <f t="shared" si="19"/>
        <v>0</v>
      </c>
      <c r="AM58" s="187"/>
      <c r="AN58" s="187">
        <f t="shared" si="20"/>
        <v>0</v>
      </c>
      <c r="AO58" s="188"/>
      <c r="AP58" s="188"/>
      <c r="AQ58" s="188">
        <f t="shared" si="5"/>
        <v>0</v>
      </c>
      <c r="AR58" s="188"/>
      <c r="AS58" s="188">
        <f t="shared" si="14"/>
        <v>0</v>
      </c>
      <c r="AT58" s="188"/>
      <c r="AU58" s="188"/>
      <c r="AV58" s="328">
        <f t="shared" si="6"/>
        <v>88191.2021484375</v>
      </c>
    </row>
    <row r="59" s="118" customFormat="1" ht="45.75" customHeight="1" spans="1:48">
      <c r="A59" s="142"/>
      <c r="B59" s="437" t="s">
        <v>133</v>
      </c>
      <c r="C59" s="144" t="s">
        <v>134</v>
      </c>
      <c r="D59" s="145" t="s">
        <v>98</v>
      </c>
      <c r="E59" s="144" t="s">
        <v>135</v>
      </c>
      <c r="F59" s="154" t="s">
        <v>136</v>
      </c>
      <c r="G59" s="147">
        <v>4.14</v>
      </c>
      <c r="H59" s="438">
        <v>2</v>
      </c>
      <c r="I59" s="186">
        <f t="shared" si="15"/>
        <v>73265.58</v>
      </c>
      <c r="J59" s="186">
        <f t="shared" si="16"/>
        <v>18316.395</v>
      </c>
      <c r="K59" s="186">
        <f t="shared" si="17"/>
        <v>45790.9875</v>
      </c>
      <c r="L59" s="186">
        <f t="shared" si="18"/>
        <v>137372.9625</v>
      </c>
      <c r="M59" s="186"/>
      <c r="N59" s="188"/>
      <c r="O59" s="188">
        <v>5</v>
      </c>
      <c r="P59" s="188">
        <v>2</v>
      </c>
      <c r="Q59" s="191"/>
      <c r="R59" s="191">
        <f t="shared" si="7"/>
        <v>0</v>
      </c>
      <c r="S59" s="191">
        <f t="shared" si="8"/>
        <v>42929.05078125</v>
      </c>
      <c r="T59" s="191">
        <f t="shared" si="9"/>
        <v>17171.6203125</v>
      </c>
      <c r="U59" s="191">
        <f t="shared" si="2"/>
        <v>60100.67109375</v>
      </c>
      <c r="V59" s="224">
        <f t="shared" si="21"/>
        <v>6010.067109375</v>
      </c>
      <c r="W59" s="188"/>
      <c r="X59" s="192">
        <f t="shared" si="4"/>
        <v>0</v>
      </c>
      <c r="Y59" s="187">
        <v>7</v>
      </c>
      <c r="Z59" s="186">
        <f t="shared" si="10"/>
        <v>18030.201328125</v>
      </c>
      <c r="AA59" s="189">
        <v>0</v>
      </c>
      <c r="AB59" s="268"/>
      <c r="AC59" s="186">
        <f t="shared" si="11"/>
        <v>0</v>
      </c>
      <c r="AD59" s="189"/>
      <c r="AE59" s="267"/>
      <c r="AF59" s="188"/>
      <c r="AG59" s="192">
        <f t="shared" si="12"/>
        <v>0</v>
      </c>
      <c r="AH59" s="192">
        <f t="shared" si="13"/>
        <v>0</v>
      </c>
      <c r="AI59" s="192"/>
      <c r="AJ59" s="305"/>
      <c r="AK59" s="187">
        <f t="shared" si="23"/>
        <v>0</v>
      </c>
      <c r="AL59" s="187">
        <f t="shared" si="19"/>
        <v>0</v>
      </c>
      <c r="AM59" s="187"/>
      <c r="AN59" s="187">
        <f t="shared" si="20"/>
        <v>0</v>
      </c>
      <c r="AO59" s="188"/>
      <c r="AP59" s="188"/>
      <c r="AQ59" s="188">
        <f t="shared" si="5"/>
        <v>0</v>
      </c>
      <c r="AR59" s="188"/>
      <c r="AS59" s="188">
        <f t="shared" si="14"/>
        <v>0</v>
      </c>
      <c r="AT59" s="188"/>
      <c r="AU59" s="188"/>
      <c r="AV59" s="328">
        <f t="shared" si="6"/>
        <v>84140.93953125</v>
      </c>
    </row>
    <row r="60" s="118" customFormat="1" ht="45.75" customHeight="1" spans="1:48">
      <c r="A60" s="142">
        <v>14</v>
      </c>
      <c r="B60" s="432" t="s">
        <v>137</v>
      </c>
      <c r="C60" s="144" t="s">
        <v>138</v>
      </c>
      <c r="D60" s="144" t="s">
        <v>98</v>
      </c>
      <c r="E60" s="145" t="s">
        <v>119</v>
      </c>
      <c r="F60" s="154" t="s">
        <v>120</v>
      </c>
      <c r="G60" s="438">
        <v>5.2</v>
      </c>
      <c r="H60" s="435">
        <v>26.1</v>
      </c>
      <c r="I60" s="186">
        <f t="shared" si="15"/>
        <v>92024.4</v>
      </c>
      <c r="J60" s="186">
        <f t="shared" si="16"/>
        <v>23006.1</v>
      </c>
      <c r="K60" s="186">
        <f t="shared" si="17"/>
        <v>57515.25</v>
      </c>
      <c r="L60" s="186">
        <f t="shared" si="18"/>
        <v>172545.75</v>
      </c>
      <c r="M60" s="186"/>
      <c r="N60" s="188"/>
      <c r="O60" s="188">
        <v>8</v>
      </c>
      <c r="P60" s="188"/>
      <c r="Q60" s="191"/>
      <c r="R60" s="191">
        <f t="shared" si="7"/>
        <v>0</v>
      </c>
      <c r="S60" s="191">
        <f t="shared" si="8"/>
        <v>86272.875</v>
      </c>
      <c r="T60" s="191">
        <f t="shared" si="9"/>
        <v>0</v>
      </c>
      <c r="U60" s="191">
        <f t="shared" si="2"/>
        <v>86272.875</v>
      </c>
      <c r="V60" s="224">
        <f t="shared" si="21"/>
        <v>8627.2875</v>
      </c>
      <c r="W60" s="188"/>
      <c r="X60" s="192">
        <f t="shared" si="4"/>
        <v>0</v>
      </c>
      <c r="Y60" s="187">
        <v>8</v>
      </c>
      <c r="Z60" s="186">
        <f t="shared" si="10"/>
        <v>25881.8625</v>
      </c>
      <c r="AA60" s="189">
        <v>8</v>
      </c>
      <c r="AB60" s="268">
        <v>35</v>
      </c>
      <c r="AC60" s="186">
        <f t="shared" si="11"/>
        <v>30195.50625</v>
      </c>
      <c r="AD60" s="189"/>
      <c r="AE60" s="267"/>
      <c r="AF60" s="188"/>
      <c r="AG60" s="192">
        <f t="shared" si="12"/>
        <v>0</v>
      </c>
      <c r="AH60" s="192">
        <f t="shared" si="13"/>
        <v>0</v>
      </c>
      <c r="AI60" s="192"/>
      <c r="AJ60" s="305"/>
      <c r="AK60" s="187">
        <f t="shared" si="23"/>
        <v>0</v>
      </c>
      <c r="AL60" s="187">
        <f t="shared" si="19"/>
        <v>0</v>
      </c>
      <c r="AM60" s="187"/>
      <c r="AN60" s="187">
        <f t="shared" ref="AN60:AN67" si="24">SUM($I$35*AM60)*0.2/100</f>
        <v>0</v>
      </c>
      <c r="AO60" s="188"/>
      <c r="AP60" s="188"/>
      <c r="AQ60" s="188">
        <f t="shared" ref="AQ60:AQ67" si="25">SUM($AN$35*AP60)</f>
        <v>0</v>
      </c>
      <c r="AR60" s="188"/>
      <c r="AS60" s="188">
        <f t="shared" si="14"/>
        <v>0</v>
      </c>
      <c r="AT60" s="188"/>
      <c r="AU60" s="188"/>
      <c r="AV60" s="328">
        <f t="shared" si="6"/>
        <v>150977.53125</v>
      </c>
    </row>
    <row r="61" s="118" customFormat="1" ht="45.75" customHeight="1" spans="1:48">
      <c r="A61" s="142"/>
      <c r="B61" s="432" t="s">
        <v>105</v>
      </c>
      <c r="C61" s="144" t="s">
        <v>138</v>
      </c>
      <c r="D61" s="144" t="s">
        <v>98</v>
      </c>
      <c r="E61" s="145" t="s">
        <v>119</v>
      </c>
      <c r="F61" s="154" t="s">
        <v>120</v>
      </c>
      <c r="G61" s="438">
        <v>5.2</v>
      </c>
      <c r="H61" s="435">
        <v>26.1</v>
      </c>
      <c r="I61" s="186">
        <f t="shared" si="15"/>
        <v>92024.4</v>
      </c>
      <c r="J61" s="186">
        <f t="shared" si="16"/>
        <v>23006.1</v>
      </c>
      <c r="K61" s="186">
        <f t="shared" si="17"/>
        <v>57515.25</v>
      </c>
      <c r="L61" s="186">
        <f t="shared" si="18"/>
        <v>172545.75</v>
      </c>
      <c r="M61" s="186"/>
      <c r="N61" s="188"/>
      <c r="O61" s="188">
        <v>9</v>
      </c>
      <c r="P61" s="188">
        <v>8</v>
      </c>
      <c r="Q61" s="191"/>
      <c r="R61" s="191">
        <f t="shared" si="7"/>
        <v>0</v>
      </c>
      <c r="S61" s="191">
        <f t="shared" si="8"/>
        <v>97056.984375</v>
      </c>
      <c r="T61" s="191">
        <f t="shared" si="9"/>
        <v>86272.875</v>
      </c>
      <c r="U61" s="191">
        <f t="shared" si="2"/>
        <v>183329.859375</v>
      </c>
      <c r="V61" s="224">
        <f t="shared" si="21"/>
        <v>18332.9859375</v>
      </c>
      <c r="W61" s="188"/>
      <c r="X61" s="192">
        <f t="shared" si="4"/>
        <v>0</v>
      </c>
      <c r="Y61" s="187">
        <v>17</v>
      </c>
      <c r="Z61" s="186">
        <f t="shared" si="10"/>
        <v>54998.9578125</v>
      </c>
      <c r="AA61" s="189">
        <v>17</v>
      </c>
      <c r="AB61" s="268">
        <v>35</v>
      </c>
      <c r="AC61" s="186">
        <f t="shared" si="11"/>
        <v>64165.45078125</v>
      </c>
      <c r="AD61" s="189"/>
      <c r="AE61" s="267"/>
      <c r="AF61" s="188"/>
      <c r="AG61" s="192">
        <f t="shared" si="12"/>
        <v>0</v>
      </c>
      <c r="AH61" s="192">
        <f t="shared" si="13"/>
        <v>0</v>
      </c>
      <c r="AI61" s="192"/>
      <c r="AJ61" s="305"/>
      <c r="AK61" s="187">
        <f t="shared" si="23"/>
        <v>0</v>
      </c>
      <c r="AL61" s="187">
        <f t="shared" si="19"/>
        <v>0</v>
      </c>
      <c r="AM61" s="187"/>
      <c r="AN61" s="187">
        <f t="shared" si="24"/>
        <v>0</v>
      </c>
      <c r="AO61" s="188"/>
      <c r="AP61" s="188"/>
      <c r="AQ61" s="188">
        <f t="shared" si="25"/>
        <v>0</v>
      </c>
      <c r="AR61" s="188"/>
      <c r="AS61" s="188">
        <f t="shared" si="14"/>
        <v>0</v>
      </c>
      <c r="AT61" s="188"/>
      <c r="AU61" s="188"/>
      <c r="AV61" s="328">
        <f t="shared" si="6"/>
        <v>320827.25390625</v>
      </c>
    </row>
    <row r="62" s="118" customFormat="1" ht="45.75" customHeight="1" spans="1:48">
      <c r="A62" s="142">
        <v>15</v>
      </c>
      <c r="B62" s="143" t="s">
        <v>139</v>
      </c>
      <c r="C62" s="144" t="s">
        <v>111</v>
      </c>
      <c r="D62" s="144" t="s">
        <v>98</v>
      </c>
      <c r="E62" s="145" t="s">
        <v>119</v>
      </c>
      <c r="F62" s="154" t="s">
        <v>120</v>
      </c>
      <c r="G62" s="147">
        <v>4.86</v>
      </c>
      <c r="H62" s="435">
        <v>12.4</v>
      </c>
      <c r="I62" s="186">
        <f t="shared" si="15"/>
        <v>86007.42</v>
      </c>
      <c r="J62" s="186">
        <f t="shared" si="16"/>
        <v>21501.855</v>
      </c>
      <c r="K62" s="186">
        <f t="shared" si="17"/>
        <v>53754.6375</v>
      </c>
      <c r="L62" s="186">
        <f t="shared" si="18"/>
        <v>161263.9125</v>
      </c>
      <c r="M62" s="186"/>
      <c r="N62" s="188">
        <v>17</v>
      </c>
      <c r="O62" s="188"/>
      <c r="P62" s="188"/>
      <c r="Q62" s="191"/>
      <c r="R62" s="191">
        <f t="shared" si="7"/>
        <v>171342.90703125</v>
      </c>
      <c r="S62" s="191">
        <f t="shared" si="8"/>
        <v>0</v>
      </c>
      <c r="T62" s="191">
        <f t="shared" si="9"/>
        <v>0</v>
      </c>
      <c r="U62" s="191">
        <f t="shared" si="2"/>
        <v>171342.90703125</v>
      </c>
      <c r="V62" s="224">
        <f t="shared" si="21"/>
        <v>17134.290703125</v>
      </c>
      <c r="W62" s="188"/>
      <c r="X62" s="192">
        <f t="shared" si="4"/>
        <v>0</v>
      </c>
      <c r="Y62" s="187">
        <v>17</v>
      </c>
      <c r="Z62" s="186">
        <f t="shared" si="10"/>
        <v>51402.872109375</v>
      </c>
      <c r="AA62" s="189">
        <v>17</v>
      </c>
      <c r="AB62" s="268">
        <v>35</v>
      </c>
      <c r="AC62" s="186">
        <f t="shared" si="11"/>
        <v>59970.0174609375</v>
      </c>
      <c r="AD62" s="189"/>
      <c r="AE62" s="267">
        <v>4</v>
      </c>
      <c r="AF62" s="188"/>
      <c r="AG62" s="192">
        <f t="shared" si="12"/>
        <v>1769.7</v>
      </c>
      <c r="AH62" s="192">
        <f t="shared" si="13"/>
        <v>0</v>
      </c>
      <c r="AI62" s="305">
        <v>0.5</v>
      </c>
      <c r="AJ62" s="305"/>
      <c r="AK62" s="187">
        <f t="shared" si="23"/>
        <v>4424.25</v>
      </c>
      <c r="AL62" s="187">
        <f t="shared" si="19"/>
        <v>0</v>
      </c>
      <c r="AM62" s="187"/>
      <c r="AN62" s="187">
        <f t="shared" si="24"/>
        <v>0</v>
      </c>
      <c r="AO62" s="188"/>
      <c r="AP62" s="188"/>
      <c r="AQ62" s="188">
        <f t="shared" si="25"/>
        <v>0</v>
      </c>
      <c r="AR62" s="188"/>
      <c r="AS62" s="188">
        <f t="shared" si="14"/>
        <v>0</v>
      </c>
      <c r="AT62" s="188"/>
      <c r="AU62" s="188"/>
      <c r="AV62" s="328">
        <f t="shared" si="6"/>
        <v>306044.037304688</v>
      </c>
    </row>
    <row r="63" s="118" customFormat="1" ht="45.75" customHeight="1" spans="1:48">
      <c r="A63" s="142">
        <v>16</v>
      </c>
      <c r="B63" s="440" t="s">
        <v>140</v>
      </c>
      <c r="C63" s="145" t="s">
        <v>93</v>
      </c>
      <c r="D63" s="145" t="s">
        <v>98</v>
      </c>
      <c r="E63" s="145" t="s">
        <v>123</v>
      </c>
      <c r="F63" s="154" t="s">
        <v>120</v>
      </c>
      <c r="G63" s="147">
        <v>4.86</v>
      </c>
      <c r="H63" s="435">
        <v>11.11</v>
      </c>
      <c r="I63" s="186">
        <f t="shared" si="15"/>
        <v>86007.42</v>
      </c>
      <c r="J63" s="186">
        <f t="shared" si="16"/>
        <v>21501.855</v>
      </c>
      <c r="K63" s="186">
        <f t="shared" si="17"/>
        <v>53754.6375</v>
      </c>
      <c r="L63" s="186">
        <f t="shared" si="18"/>
        <v>161263.9125</v>
      </c>
      <c r="M63" s="186"/>
      <c r="N63" s="188">
        <v>9</v>
      </c>
      <c r="O63" s="188">
        <v>15</v>
      </c>
      <c r="P63" s="188">
        <v>6</v>
      </c>
      <c r="Q63" s="191"/>
      <c r="R63" s="191">
        <f t="shared" si="7"/>
        <v>90710.95078125</v>
      </c>
      <c r="S63" s="191">
        <f t="shared" si="8"/>
        <v>151184.91796875</v>
      </c>
      <c r="T63" s="191">
        <f t="shared" si="9"/>
        <v>60473.9671875</v>
      </c>
      <c r="U63" s="191">
        <f t="shared" si="2"/>
        <v>302369.8359375</v>
      </c>
      <c r="V63" s="224">
        <f t="shared" si="21"/>
        <v>30236.98359375</v>
      </c>
      <c r="W63" s="188"/>
      <c r="X63" s="192">
        <f t="shared" si="4"/>
        <v>0</v>
      </c>
      <c r="Y63" s="187">
        <v>30</v>
      </c>
      <c r="Z63" s="186">
        <f t="shared" si="10"/>
        <v>90710.95078125</v>
      </c>
      <c r="AA63" s="189">
        <v>30</v>
      </c>
      <c r="AB63" s="268">
        <v>35</v>
      </c>
      <c r="AC63" s="186">
        <f t="shared" si="11"/>
        <v>105829.442578125</v>
      </c>
      <c r="AD63" s="189"/>
      <c r="AE63" s="267"/>
      <c r="AF63" s="188"/>
      <c r="AG63" s="192">
        <f t="shared" si="12"/>
        <v>0</v>
      </c>
      <c r="AH63" s="192">
        <f t="shared" si="13"/>
        <v>0</v>
      </c>
      <c r="AI63" s="305"/>
      <c r="AJ63" s="305"/>
      <c r="AK63" s="187">
        <f t="shared" si="23"/>
        <v>0</v>
      </c>
      <c r="AL63" s="187">
        <f t="shared" si="19"/>
        <v>0</v>
      </c>
      <c r="AM63" s="187"/>
      <c r="AN63" s="187">
        <f t="shared" si="24"/>
        <v>0</v>
      </c>
      <c r="AO63" s="188"/>
      <c r="AP63" s="188"/>
      <c r="AQ63" s="188">
        <f t="shared" si="25"/>
        <v>0</v>
      </c>
      <c r="AR63" s="188">
        <v>1</v>
      </c>
      <c r="AS63" s="188">
        <f t="shared" si="14"/>
        <v>17697</v>
      </c>
      <c r="AT63" s="188"/>
      <c r="AU63" s="188"/>
      <c r="AV63" s="328">
        <f t="shared" si="6"/>
        <v>546844.212890625</v>
      </c>
    </row>
    <row r="64" s="118" customFormat="1" ht="45.75" customHeight="1" spans="1:48">
      <c r="A64" s="142">
        <v>17</v>
      </c>
      <c r="B64" s="440" t="s">
        <v>141</v>
      </c>
      <c r="C64" s="145" t="s">
        <v>97</v>
      </c>
      <c r="D64" s="145" t="s">
        <v>98</v>
      </c>
      <c r="E64" s="145" t="s">
        <v>123</v>
      </c>
      <c r="F64" s="154" t="s">
        <v>120</v>
      </c>
      <c r="G64" s="147">
        <v>4.95</v>
      </c>
      <c r="H64" s="435">
        <v>14</v>
      </c>
      <c r="I64" s="186">
        <f t="shared" si="15"/>
        <v>87600.15</v>
      </c>
      <c r="J64" s="186">
        <f t="shared" si="16"/>
        <v>21900.0375</v>
      </c>
      <c r="K64" s="186"/>
      <c r="L64" s="186">
        <f t="shared" si="18"/>
        <v>164250.28125</v>
      </c>
      <c r="M64" s="186"/>
      <c r="N64" s="188">
        <v>10</v>
      </c>
      <c r="O64" s="188"/>
      <c r="P64" s="188"/>
      <c r="Q64" s="191"/>
      <c r="R64" s="191">
        <f t="shared" si="7"/>
        <v>102656.42578125</v>
      </c>
      <c r="S64" s="191">
        <f t="shared" si="8"/>
        <v>0</v>
      </c>
      <c r="T64" s="191">
        <f t="shared" si="9"/>
        <v>0</v>
      </c>
      <c r="U64" s="191">
        <f t="shared" si="2"/>
        <v>102656.42578125</v>
      </c>
      <c r="V64" s="224">
        <f t="shared" si="21"/>
        <v>10265.642578125</v>
      </c>
      <c r="W64" s="188"/>
      <c r="X64" s="192">
        <f t="shared" si="4"/>
        <v>0</v>
      </c>
      <c r="Y64" s="187">
        <v>10</v>
      </c>
      <c r="Z64" s="186">
        <f t="shared" si="10"/>
        <v>30796.927734375</v>
      </c>
      <c r="AA64" s="189">
        <v>10</v>
      </c>
      <c r="AB64" s="268">
        <v>35</v>
      </c>
      <c r="AC64" s="186">
        <f t="shared" si="11"/>
        <v>35929.7490234375</v>
      </c>
      <c r="AD64" s="189"/>
      <c r="AE64" s="267"/>
      <c r="AF64" s="188">
        <v>10</v>
      </c>
      <c r="AG64" s="192">
        <f t="shared" si="12"/>
        <v>0</v>
      </c>
      <c r="AH64" s="192">
        <f t="shared" si="13"/>
        <v>5530.3125</v>
      </c>
      <c r="AI64" s="305"/>
      <c r="AJ64" s="305"/>
      <c r="AK64" s="187">
        <f t="shared" si="23"/>
        <v>0</v>
      </c>
      <c r="AL64" s="187">
        <f t="shared" si="19"/>
        <v>0</v>
      </c>
      <c r="AM64" s="187"/>
      <c r="AN64" s="187">
        <f t="shared" si="24"/>
        <v>0</v>
      </c>
      <c r="AO64" s="188"/>
      <c r="AP64" s="188"/>
      <c r="AQ64" s="188">
        <f t="shared" si="25"/>
        <v>0</v>
      </c>
      <c r="AR64" s="188"/>
      <c r="AS64" s="188">
        <f t="shared" si="14"/>
        <v>0</v>
      </c>
      <c r="AT64" s="188"/>
      <c r="AU64" s="188"/>
      <c r="AV64" s="328">
        <f t="shared" si="6"/>
        <v>185179.057617188</v>
      </c>
    </row>
    <row r="65" s="118" customFormat="1" ht="45.75" customHeight="1" spans="1:48">
      <c r="A65" s="142">
        <v>18</v>
      </c>
      <c r="B65" s="143" t="s">
        <v>142</v>
      </c>
      <c r="C65" s="144" t="s">
        <v>143</v>
      </c>
      <c r="D65" s="144" t="s">
        <v>98</v>
      </c>
      <c r="E65" s="144" t="s">
        <v>144</v>
      </c>
      <c r="F65" s="154" t="s">
        <v>120</v>
      </c>
      <c r="G65" s="147">
        <v>5.2</v>
      </c>
      <c r="H65" s="147">
        <v>33</v>
      </c>
      <c r="I65" s="186">
        <f t="shared" si="15"/>
        <v>92024.4</v>
      </c>
      <c r="J65" s="186">
        <f t="shared" si="16"/>
        <v>23006.1</v>
      </c>
      <c r="K65" s="186">
        <f>(I65+J65)*0.5</f>
        <v>57515.25</v>
      </c>
      <c r="L65" s="186">
        <f t="shared" si="18"/>
        <v>172545.75</v>
      </c>
      <c r="M65" s="186"/>
      <c r="N65" s="188"/>
      <c r="O65" s="188">
        <v>17</v>
      </c>
      <c r="P65" s="188">
        <v>6</v>
      </c>
      <c r="Q65" s="191"/>
      <c r="R65" s="191">
        <f t="shared" si="7"/>
        <v>0</v>
      </c>
      <c r="S65" s="191">
        <f t="shared" si="8"/>
        <v>183329.859375</v>
      </c>
      <c r="T65" s="191">
        <f t="shared" si="9"/>
        <v>64704.65625</v>
      </c>
      <c r="U65" s="191">
        <f t="shared" si="2"/>
        <v>248034.515625</v>
      </c>
      <c r="V65" s="224">
        <f t="shared" si="21"/>
        <v>24803.4515625</v>
      </c>
      <c r="W65" s="188"/>
      <c r="X65" s="192">
        <f t="shared" si="4"/>
        <v>0</v>
      </c>
      <c r="Y65" s="187">
        <v>23</v>
      </c>
      <c r="Z65" s="186">
        <f t="shared" si="10"/>
        <v>74410.3546875</v>
      </c>
      <c r="AA65" s="189">
        <v>0</v>
      </c>
      <c r="AB65" s="268"/>
      <c r="AC65" s="186">
        <f t="shared" si="11"/>
        <v>0</v>
      </c>
      <c r="AD65" s="189"/>
      <c r="AE65" s="267">
        <v>7.65</v>
      </c>
      <c r="AF65" s="188"/>
      <c r="AG65" s="192">
        <f t="shared" si="12"/>
        <v>3384.55125</v>
      </c>
      <c r="AH65" s="192">
        <f t="shared" si="13"/>
        <v>0</v>
      </c>
      <c r="AI65" s="192"/>
      <c r="AJ65" s="305">
        <v>0.5</v>
      </c>
      <c r="AK65" s="187">
        <f t="shared" si="23"/>
        <v>0</v>
      </c>
      <c r="AL65" s="187">
        <f t="shared" si="19"/>
        <v>5309.1</v>
      </c>
      <c r="AM65" s="187"/>
      <c r="AN65" s="187">
        <f t="shared" si="24"/>
        <v>0</v>
      </c>
      <c r="AO65" s="188"/>
      <c r="AP65" s="188"/>
      <c r="AQ65" s="188">
        <f t="shared" si="25"/>
        <v>0</v>
      </c>
      <c r="AR65" s="188"/>
      <c r="AS65" s="188">
        <f t="shared" si="14"/>
        <v>0</v>
      </c>
      <c r="AT65" s="188"/>
      <c r="AU65" s="188"/>
      <c r="AV65" s="328">
        <f t="shared" si="6"/>
        <v>355941.973125</v>
      </c>
    </row>
    <row r="66" s="118" customFormat="1" ht="45.75" customHeight="1" spans="1:48">
      <c r="A66" s="142">
        <v>19</v>
      </c>
      <c r="B66" s="432" t="s">
        <v>145</v>
      </c>
      <c r="C66" s="144" t="s">
        <v>138</v>
      </c>
      <c r="D66" s="144" t="s">
        <v>98</v>
      </c>
      <c r="E66" s="145" t="s">
        <v>144</v>
      </c>
      <c r="F66" s="146" t="s">
        <v>120</v>
      </c>
      <c r="G66" s="147">
        <v>5.2</v>
      </c>
      <c r="H66" s="148" t="s">
        <v>146</v>
      </c>
      <c r="I66" s="186">
        <f t="shared" si="15"/>
        <v>92024.4</v>
      </c>
      <c r="J66" s="186">
        <f t="shared" si="16"/>
        <v>23006.1</v>
      </c>
      <c r="K66" s="186">
        <f>(I66+J66)*0.5</f>
        <v>57515.25</v>
      </c>
      <c r="L66" s="186">
        <f t="shared" si="18"/>
        <v>172545.75</v>
      </c>
      <c r="M66" s="186"/>
      <c r="N66" s="188"/>
      <c r="O66" s="188">
        <v>16</v>
      </c>
      <c r="P66" s="188"/>
      <c r="Q66" s="191"/>
      <c r="R66" s="191">
        <f t="shared" si="7"/>
        <v>0</v>
      </c>
      <c r="S66" s="191">
        <f t="shared" si="8"/>
        <v>172545.75</v>
      </c>
      <c r="T66" s="191">
        <f t="shared" si="9"/>
        <v>0</v>
      </c>
      <c r="U66" s="191">
        <f t="shared" si="2"/>
        <v>172545.75</v>
      </c>
      <c r="V66" s="224">
        <f t="shared" si="21"/>
        <v>17254.575</v>
      </c>
      <c r="W66" s="188"/>
      <c r="X66" s="192">
        <f t="shared" si="4"/>
        <v>0</v>
      </c>
      <c r="Y66" s="187">
        <v>16</v>
      </c>
      <c r="Z66" s="186">
        <f t="shared" si="10"/>
        <v>51763.725</v>
      </c>
      <c r="AA66" s="189">
        <v>0</v>
      </c>
      <c r="AB66" s="268"/>
      <c r="AC66" s="186">
        <f t="shared" si="11"/>
        <v>0</v>
      </c>
      <c r="AD66" s="189"/>
      <c r="AE66" s="267"/>
      <c r="AF66" s="188"/>
      <c r="AG66" s="192">
        <f t="shared" si="12"/>
        <v>0</v>
      </c>
      <c r="AH66" s="192">
        <f t="shared" si="13"/>
        <v>0</v>
      </c>
      <c r="AI66" s="192"/>
      <c r="AJ66" s="305"/>
      <c r="AK66" s="187">
        <f t="shared" si="23"/>
        <v>0</v>
      </c>
      <c r="AL66" s="187">
        <f t="shared" si="19"/>
        <v>0</v>
      </c>
      <c r="AM66" s="187"/>
      <c r="AN66" s="187">
        <f t="shared" si="24"/>
        <v>0</v>
      </c>
      <c r="AO66" s="188"/>
      <c r="AP66" s="188"/>
      <c r="AQ66" s="188">
        <f t="shared" si="25"/>
        <v>0</v>
      </c>
      <c r="AR66" s="188"/>
      <c r="AS66" s="188">
        <f t="shared" si="14"/>
        <v>0</v>
      </c>
      <c r="AT66" s="188"/>
      <c r="AU66" s="188"/>
      <c r="AV66" s="328">
        <f t="shared" ref="AV66:AV81" si="26">U66+V66+X66+Z66+AC66+AD66+AG66+AH66+AK66+AL66+AN66+AO66+AQ66+AT66+AU66+AS66</f>
        <v>241564.05</v>
      </c>
    </row>
    <row r="67" s="118" customFormat="1" ht="45.75" customHeight="1" spans="1:48">
      <c r="A67" s="142"/>
      <c r="B67" s="432" t="s">
        <v>105</v>
      </c>
      <c r="C67" s="144" t="s">
        <v>138</v>
      </c>
      <c r="D67" s="144" t="s">
        <v>98</v>
      </c>
      <c r="E67" s="145" t="s">
        <v>144</v>
      </c>
      <c r="F67" s="146" t="s">
        <v>120</v>
      </c>
      <c r="G67" s="147">
        <v>5.2</v>
      </c>
      <c r="H67" s="148" t="s">
        <v>146</v>
      </c>
      <c r="I67" s="186">
        <f t="shared" si="15"/>
        <v>92024.4</v>
      </c>
      <c r="J67" s="186">
        <f t="shared" si="16"/>
        <v>23006.1</v>
      </c>
      <c r="K67" s="186">
        <f>(I67+J67)*0.5</f>
        <v>57515.25</v>
      </c>
      <c r="L67" s="186">
        <f t="shared" si="18"/>
        <v>172545.75</v>
      </c>
      <c r="M67" s="186"/>
      <c r="N67" s="188"/>
      <c r="O67" s="188">
        <v>3</v>
      </c>
      <c r="P67" s="188">
        <v>4</v>
      </c>
      <c r="Q67" s="191"/>
      <c r="R67" s="191">
        <f t="shared" si="7"/>
        <v>0</v>
      </c>
      <c r="S67" s="191">
        <f t="shared" si="8"/>
        <v>32352.328125</v>
      </c>
      <c r="T67" s="191">
        <f t="shared" si="9"/>
        <v>43136.4375</v>
      </c>
      <c r="U67" s="191">
        <f t="shared" si="2"/>
        <v>75488.765625</v>
      </c>
      <c r="V67" s="224">
        <f t="shared" si="21"/>
        <v>7548.8765625</v>
      </c>
      <c r="W67" s="188"/>
      <c r="X67" s="192">
        <f t="shared" si="4"/>
        <v>0</v>
      </c>
      <c r="Y67" s="187">
        <v>6</v>
      </c>
      <c r="Z67" s="186">
        <f t="shared" si="10"/>
        <v>19411.396875</v>
      </c>
      <c r="AA67" s="189"/>
      <c r="AB67" s="268"/>
      <c r="AC67" s="186">
        <f t="shared" si="11"/>
        <v>0</v>
      </c>
      <c r="AD67" s="189"/>
      <c r="AE67" s="267"/>
      <c r="AF67" s="188"/>
      <c r="AG67" s="192">
        <f t="shared" si="12"/>
        <v>0</v>
      </c>
      <c r="AH67" s="192">
        <f t="shared" si="13"/>
        <v>0</v>
      </c>
      <c r="AI67" s="192"/>
      <c r="AJ67" s="305"/>
      <c r="AK67" s="187">
        <f t="shared" si="23"/>
        <v>0</v>
      </c>
      <c r="AL67" s="187">
        <f t="shared" si="19"/>
        <v>0</v>
      </c>
      <c r="AM67" s="187"/>
      <c r="AN67" s="187">
        <f t="shared" si="24"/>
        <v>0</v>
      </c>
      <c r="AO67" s="188"/>
      <c r="AP67" s="188"/>
      <c r="AQ67" s="188">
        <f t="shared" si="25"/>
        <v>0</v>
      </c>
      <c r="AR67" s="188"/>
      <c r="AS67" s="188">
        <f t="shared" si="14"/>
        <v>0</v>
      </c>
      <c r="AT67" s="188"/>
      <c r="AU67" s="188"/>
      <c r="AV67" s="328">
        <f t="shared" si="26"/>
        <v>102449.0390625</v>
      </c>
    </row>
    <row r="68" s="118" customFormat="1" ht="45.75" customHeight="1" spans="1:48">
      <c r="A68" s="142">
        <v>20</v>
      </c>
      <c r="B68" s="143" t="s">
        <v>147</v>
      </c>
      <c r="C68" s="145" t="s">
        <v>148</v>
      </c>
      <c r="D68" s="145" t="s">
        <v>98</v>
      </c>
      <c r="E68" s="145" t="s">
        <v>149</v>
      </c>
      <c r="F68" s="147" t="s">
        <v>150</v>
      </c>
      <c r="G68" s="147">
        <v>4.59</v>
      </c>
      <c r="H68" s="148" t="s">
        <v>151</v>
      </c>
      <c r="I68" s="186">
        <f t="shared" si="15"/>
        <v>81229.23</v>
      </c>
      <c r="J68" s="186">
        <f t="shared" si="16"/>
        <v>20307.3075</v>
      </c>
      <c r="K68" s="186">
        <f>(I68+J68)*0.5</f>
        <v>50768.26875</v>
      </c>
      <c r="L68" s="186">
        <f t="shared" si="18"/>
        <v>152304.80625</v>
      </c>
      <c r="M68" s="186"/>
      <c r="N68" s="188"/>
      <c r="O68" s="188">
        <v>25</v>
      </c>
      <c r="P68" s="188"/>
      <c r="Q68" s="191">
        <f>M68/24*L68</f>
        <v>0</v>
      </c>
      <c r="R68" s="191">
        <f t="shared" si="7"/>
        <v>0</v>
      </c>
      <c r="S68" s="191">
        <f t="shared" si="8"/>
        <v>237976.259765625</v>
      </c>
      <c r="T68" s="191">
        <f t="shared" si="9"/>
        <v>0</v>
      </c>
      <c r="U68" s="191">
        <f t="shared" ref="U68:U81" si="27">R68+S68+T68</f>
        <v>237976.259765625</v>
      </c>
      <c r="V68" s="224">
        <f t="shared" ref="V68:V81" si="28">U68*0.1</f>
        <v>23797.6259765625</v>
      </c>
      <c r="W68" s="188"/>
      <c r="X68" s="192">
        <f t="shared" si="4"/>
        <v>0</v>
      </c>
      <c r="Y68" s="187">
        <f>N68+O68+P68</f>
        <v>25</v>
      </c>
      <c r="Z68" s="186">
        <f t="shared" si="10"/>
        <v>71392.8779296875</v>
      </c>
      <c r="AA68" s="189">
        <v>25</v>
      </c>
      <c r="AB68" s="268">
        <v>30</v>
      </c>
      <c r="AC68" s="186">
        <f t="shared" si="11"/>
        <v>71392.8779296875</v>
      </c>
      <c r="AD68" s="189"/>
      <c r="AE68" s="267">
        <v>3.75</v>
      </c>
      <c r="AF68" s="188"/>
      <c r="AG68" s="192">
        <f t="shared" si="12"/>
        <v>1659.09375</v>
      </c>
      <c r="AH68" s="192">
        <f t="shared" si="13"/>
        <v>0</v>
      </c>
      <c r="AI68" s="192"/>
      <c r="AJ68" s="305">
        <v>0.5</v>
      </c>
      <c r="AK68" s="187">
        <f t="shared" ref="AK68:AK81" si="29">SUM($I$35*AI68)*0.5</f>
        <v>0</v>
      </c>
      <c r="AL68" s="187">
        <f t="shared" ref="AL68:AL81" si="30">SUM($I$35*AJ68)*0.6</f>
        <v>5309.1</v>
      </c>
      <c r="AM68" s="187"/>
      <c r="AN68" s="187">
        <f t="shared" ref="AN68:AN81" si="31">SUM($I$35*AM68)*0.2/100</f>
        <v>0</v>
      </c>
      <c r="AO68" s="447"/>
      <c r="AP68" s="447"/>
      <c r="AQ68" s="188">
        <f t="shared" ref="AQ68:AQ81" si="32">SUM($AN$35*AP68)</f>
        <v>0</v>
      </c>
      <c r="AR68" s="188"/>
      <c r="AS68" s="188">
        <f t="shared" si="14"/>
        <v>0</v>
      </c>
      <c r="AT68" s="188"/>
      <c r="AU68" s="188"/>
      <c r="AV68" s="328">
        <f t="shared" si="26"/>
        <v>411527.835351562</v>
      </c>
    </row>
    <row r="69" s="118" customFormat="1" ht="45.75" customHeight="1" spans="1:48">
      <c r="A69" s="142">
        <v>21</v>
      </c>
      <c r="B69" s="143" t="s">
        <v>152</v>
      </c>
      <c r="C69" s="144" t="s">
        <v>115</v>
      </c>
      <c r="D69" s="144" t="s">
        <v>98</v>
      </c>
      <c r="E69" s="144" t="s">
        <v>149</v>
      </c>
      <c r="F69" s="154" t="s">
        <v>150</v>
      </c>
      <c r="G69" s="154">
        <v>4.59</v>
      </c>
      <c r="H69" s="148" t="s">
        <v>153</v>
      </c>
      <c r="I69" s="189">
        <f t="shared" ref="I69:I82" si="33">17697*G69</f>
        <v>81229.23</v>
      </c>
      <c r="J69" s="186">
        <f t="shared" ref="J69:J82" si="34">I69*0.25</f>
        <v>20307.3075</v>
      </c>
      <c r="K69" s="186">
        <f t="shared" ref="K69:K81" si="35">(I69+J69)*0.5</f>
        <v>50768.26875</v>
      </c>
      <c r="L69" s="186">
        <f t="shared" ref="L69:L81" si="36">(I69+J69)*1.5</f>
        <v>152304.80625</v>
      </c>
      <c r="M69" s="186"/>
      <c r="N69" s="188">
        <v>8</v>
      </c>
      <c r="O69" s="188">
        <v>15</v>
      </c>
      <c r="P69" s="188">
        <v>6</v>
      </c>
      <c r="Q69" s="191">
        <f>M69/24*L69</f>
        <v>0</v>
      </c>
      <c r="R69" s="191">
        <f t="shared" si="7"/>
        <v>76152.403125</v>
      </c>
      <c r="S69" s="191">
        <f t="shared" si="8"/>
        <v>142785.755859375</v>
      </c>
      <c r="T69" s="191">
        <f t="shared" si="9"/>
        <v>57114.30234375</v>
      </c>
      <c r="U69" s="191">
        <f t="shared" si="27"/>
        <v>276052.461328125</v>
      </c>
      <c r="V69" s="224">
        <f t="shared" si="28"/>
        <v>27605.2461328125</v>
      </c>
      <c r="W69" s="188"/>
      <c r="X69" s="192">
        <f t="shared" si="4"/>
        <v>0</v>
      </c>
      <c r="Y69" s="187">
        <v>29</v>
      </c>
      <c r="Z69" s="186">
        <f t="shared" si="10"/>
        <v>82815.7383984375</v>
      </c>
      <c r="AA69" s="189">
        <v>29</v>
      </c>
      <c r="AB69" s="268">
        <v>30</v>
      </c>
      <c r="AC69" s="186">
        <f t="shared" si="11"/>
        <v>82815.7383984375</v>
      </c>
      <c r="AD69" s="189"/>
      <c r="AE69" s="267">
        <v>8.375</v>
      </c>
      <c r="AF69" s="188"/>
      <c r="AG69" s="192">
        <f t="shared" si="12"/>
        <v>3705.309375</v>
      </c>
      <c r="AH69" s="192">
        <f t="shared" si="13"/>
        <v>0</v>
      </c>
      <c r="AI69" s="192"/>
      <c r="AJ69" s="305">
        <v>1</v>
      </c>
      <c r="AK69" s="187">
        <f t="shared" si="29"/>
        <v>0</v>
      </c>
      <c r="AL69" s="187">
        <f t="shared" si="30"/>
        <v>10618.2</v>
      </c>
      <c r="AM69" s="187"/>
      <c r="AN69" s="187">
        <f t="shared" si="31"/>
        <v>0</v>
      </c>
      <c r="AO69" s="188"/>
      <c r="AP69" s="188"/>
      <c r="AQ69" s="188">
        <f t="shared" si="32"/>
        <v>0</v>
      </c>
      <c r="AR69" s="188"/>
      <c r="AS69" s="188">
        <f t="shared" si="14"/>
        <v>0</v>
      </c>
      <c r="AT69" s="188"/>
      <c r="AU69" s="188"/>
      <c r="AV69" s="328">
        <f t="shared" si="26"/>
        <v>483612.693632813</v>
      </c>
    </row>
    <row r="70" s="118" customFormat="1" ht="45.75" customHeight="1" spans="1:48">
      <c r="A70" s="142">
        <v>22</v>
      </c>
      <c r="B70" s="143" t="s">
        <v>154</v>
      </c>
      <c r="C70" s="145" t="s">
        <v>155</v>
      </c>
      <c r="D70" s="145" t="s">
        <v>98</v>
      </c>
      <c r="E70" s="145" t="s">
        <v>156</v>
      </c>
      <c r="F70" s="147" t="s">
        <v>150</v>
      </c>
      <c r="G70" s="147">
        <v>4.74</v>
      </c>
      <c r="H70" s="148" t="s">
        <v>157</v>
      </c>
      <c r="I70" s="189">
        <f t="shared" si="33"/>
        <v>83883.78</v>
      </c>
      <c r="J70" s="186">
        <f t="shared" si="34"/>
        <v>20970.945</v>
      </c>
      <c r="K70" s="186">
        <f t="shared" si="35"/>
        <v>52427.3625</v>
      </c>
      <c r="L70" s="186">
        <f t="shared" si="36"/>
        <v>157282.0875</v>
      </c>
      <c r="M70" s="186"/>
      <c r="N70" s="188">
        <v>19</v>
      </c>
      <c r="O70" s="188">
        <v>5</v>
      </c>
      <c r="P70" s="188">
        <v>2</v>
      </c>
      <c r="Q70" s="191">
        <f>M70/24*L70</f>
        <v>0</v>
      </c>
      <c r="R70" s="191">
        <f t="shared" si="7"/>
        <v>186772.47890625</v>
      </c>
      <c r="S70" s="191">
        <f t="shared" si="8"/>
        <v>49150.65234375</v>
      </c>
      <c r="T70" s="191">
        <f t="shared" si="9"/>
        <v>19660.2609375</v>
      </c>
      <c r="U70" s="191">
        <f t="shared" si="27"/>
        <v>255583.3921875</v>
      </c>
      <c r="V70" s="224">
        <f t="shared" si="28"/>
        <v>25558.33921875</v>
      </c>
      <c r="W70" s="188"/>
      <c r="X70" s="192">
        <f t="shared" si="4"/>
        <v>0</v>
      </c>
      <c r="Y70" s="187">
        <v>26</v>
      </c>
      <c r="Z70" s="186">
        <f t="shared" si="10"/>
        <v>76675.01765625</v>
      </c>
      <c r="AA70" s="189">
        <v>16</v>
      </c>
      <c r="AB70" s="268">
        <v>30</v>
      </c>
      <c r="AC70" s="186">
        <f t="shared" si="11"/>
        <v>47184.62625</v>
      </c>
      <c r="AD70" s="189"/>
      <c r="AE70" s="267">
        <v>4</v>
      </c>
      <c r="AF70" s="188"/>
      <c r="AG70" s="192">
        <f t="shared" si="12"/>
        <v>1769.7</v>
      </c>
      <c r="AH70" s="192">
        <f t="shared" si="13"/>
        <v>0</v>
      </c>
      <c r="AI70" s="305">
        <v>0.5</v>
      </c>
      <c r="AJ70" s="192"/>
      <c r="AK70" s="187">
        <f t="shared" si="29"/>
        <v>4424.25</v>
      </c>
      <c r="AL70" s="187">
        <f t="shared" si="30"/>
        <v>0</v>
      </c>
      <c r="AM70" s="187"/>
      <c r="AN70" s="187">
        <f t="shared" si="31"/>
        <v>0</v>
      </c>
      <c r="AO70" s="188"/>
      <c r="AP70" s="188"/>
      <c r="AQ70" s="188">
        <f t="shared" si="32"/>
        <v>0</v>
      </c>
      <c r="AR70" s="188"/>
      <c r="AS70" s="188">
        <f t="shared" si="14"/>
        <v>0</v>
      </c>
      <c r="AT70" s="188"/>
      <c r="AU70" s="188"/>
      <c r="AV70" s="328">
        <f t="shared" si="26"/>
        <v>411195.3253125</v>
      </c>
    </row>
    <row r="71" s="117" customFormat="1" ht="45.75" customHeight="1" spans="1:48">
      <c r="A71" s="142">
        <v>23</v>
      </c>
      <c r="B71" s="143" t="s">
        <v>158</v>
      </c>
      <c r="C71" s="144" t="s">
        <v>159</v>
      </c>
      <c r="D71" s="144" t="s">
        <v>98</v>
      </c>
      <c r="E71" s="144" t="s">
        <v>149</v>
      </c>
      <c r="F71" s="154" t="s">
        <v>150</v>
      </c>
      <c r="G71" s="154">
        <v>4.59</v>
      </c>
      <c r="H71" s="148" t="s">
        <v>151</v>
      </c>
      <c r="I71" s="189">
        <f t="shared" si="33"/>
        <v>81229.23</v>
      </c>
      <c r="J71" s="186">
        <f t="shared" si="34"/>
        <v>20307.3075</v>
      </c>
      <c r="K71" s="186">
        <f t="shared" si="35"/>
        <v>50768.26875</v>
      </c>
      <c r="L71" s="186">
        <f t="shared" si="36"/>
        <v>152304.80625</v>
      </c>
      <c r="M71" s="186"/>
      <c r="N71" s="187"/>
      <c r="O71" s="188">
        <v>17</v>
      </c>
      <c r="P71" s="187">
        <v>8</v>
      </c>
      <c r="Q71" s="191"/>
      <c r="R71" s="191">
        <f t="shared" si="7"/>
        <v>0</v>
      </c>
      <c r="S71" s="191">
        <f t="shared" si="8"/>
        <v>161823.856640625</v>
      </c>
      <c r="T71" s="191">
        <f t="shared" si="9"/>
        <v>76152.403125</v>
      </c>
      <c r="U71" s="191">
        <f t="shared" si="27"/>
        <v>237976.259765625</v>
      </c>
      <c r="V71" s="224">
        <f t="shared" si="28"/>
        <v>23797.6259765625</v>
      </c>
      <c r="W71" s="187"/>
      <c r="X71" s="192">
        <f t="shared" si="4"/>
        <v>0</v>
      </c>
      <c r="Y71" s="187">
        <v>25</v>
      </c>
      <c r="Z71" s="186">
        <f t="shared" si="10"/>
        <v>71392.8779296875</v>
      </c>
      <c r="AA71" s="189">
        <v>25</v>
      </c>
      <c r="AB71" s="191">
        <v>30</v>
      </c>
      <c r="AC71" s="186">
        <f t="shared" si="11"/>
        <v>71392.8779296875</v>
      </c>
      <c r="AD71" s="443"/>
      <c r="AE71" s="267"/>
      <c r="AF71" s="187"/>
      <c r="AG71" s="192">
        <f t="shared" si="12"/>
        <v>0</v>
      </c>
      <c r="AH71" s="192">
        <f t="shared" si="13"/>
        <v>0</v>
      </c>
      <c r="AI71" s="305"/>
      <c r="AJ71" s="305">
        <v>0.5</v>
      </c>
      <c r="AK71" s="187">
        <f t="shared" si="29"/>
        <v>0</v>
      </c>
      <c r="AL71" s="187">
        <f t="shared" si="30"/>
        <v>5309.1</v>
      </c>
      <c r="AM71" s="187"/>
      <c r="AN71" s="187">
        <f t="shared" si="31"/>
        <v>0</v>
      </c>
      <c r="AO71" s="187"/>
      <c r="AP71" s="187">
        <v>10</v>
      </c>
      <c r="AQ71" s="188">
        <f t="shared" si="32"/>
        <v>29170</v>
      </c>
      <c r="AR71" s="188"/>
      <c r="AS71" s="188">
        <f t="shared" si="14"/>
        <v>0</v>
      </c>
      <c r="AT71" s="187"/>
      <c r="AU71" s="187"/>
      <c r="AV71" s="328">
        <f t="shared" si="26"/>
        <v>439038.741601562</v>
      </c>
    </row>
    <row r="72" s="117" customFormat="1" ht="45.75" customHeight="1" spans="1:48">
      <c r="A72" s="142">
        <v>24</v>
      </c>
      <c r="B72" s="143" t="s">
        <v>160</v>
      </c>
      <c r="C72" s="144" t="s">
        <v>93</v>
      </c>
      <c r="D72" s="144" t="s">
        <v>98</v>
      </c>
      <c r="E72" s="144" t="s">
        <v>149</v>
      </c>
      <c r="F72" s="154" t="s">
        <v>150</v>
      </c>
      <c r="G72" s="154">
        <v>4.44</v>
      </c>
      <c r="H72" s="155" t="s">
        <v>161</v>
      </c>
      <c r="I72" s="189">
        <f t="shared" si="33"/>
        <v>78574.68</v>
      </c>
      <c r="J72" s="186">
        <f t="shared" si="34"/>
        <v>19643.67</v>
      </c>
      <c r="K72" s="186">
        <f t="shared" si="35"/>
        <v>49109.175</v>
      </c>
      <c r="L72" s="186">
        <f t="shared" si="36"/>
        <v>147327.525</v>
      </c>
      <c r="M72" s="186"/>
      <c r="N72" s="187">
        <v>6</v>
      </c>
      <c r="O72" s="188">
        <v>15</v>
      </c>
      <c r="P72" s="187">
        <v>3</v>
      </c>
      <c r="Q72" s="191"/>
      <c r="R72" s="191">
        <f t="shared" si="7"/>
        <v>55247.821875</v>
      </c>
      <c r="S72" s="191">
        <f t="shared" si="8"/>
        <v>138119.5546875</v>
      </c>
      <c r="T72" s="191">
        <f t="shared" si="9"/>
        <v>27623.9109375</v>
      </c>
      <c r="U72" s="191">
        <f t="shared" si="27"/>
        <v>220991.2875</v>
      </c>
      <c r="V72" s="224">
        <f t="shared" si="28"/>
        <v>22099.12875</v>
      </c>
      <c r="W72" s="187"/>
      <c r="X72" s="192">
        <f t="shared" si="4"/>
        <v>0</v>
      </c>
      <c r="Y72" s="187">
        <v>24</v>
      </c>
      <c r="Z72" s="186">
        <f t="shared" si="10"/>
        <v>66297.38625</v>
      </c>
      <c r="AA72" s="189">
        <v>24</v>
      </c>
      <c r="AB72" s="191">
        <v>30</v>
      </c>
      <c r="AC72" s="186">
        <f t="shared" si="11"/>
        <v>66297.38625</v>
      </c>
      <c r="AD72" s="443"/>
      <c r="AE72" s="267"/>
      <c r="AF72" s="187"/>
      <c r="AG72" s="192">
        <f t="shared" si="12"/>
        <v>0</v>
      </c>
      <c r="AH72" s="192">
        <f t="shared" si="13"/>
        <v>0</v>
      </c>
      <c r="AI72" s="305"/>
      <c r="AJ72" s="192"/>
      <c r="AK72" s="187">
        <f t="shared" si="29"/>
        <v>0</v>
      </c>
      <c r="AL72" s="187">
        <f t="shared" si="30"/>
        <v>0</v>
      </c>
      <c r="AM72" s="187"/>
      <c r="AN72" s="187">
        <f t="shared" si="31"/>
        <v>0</v>
      </c>
      <c r="AO72" s="187"/>
      <c r="AP72" s="187"/>
      <c r="AQ72" s="188">
        <f t="shared" si="32"/>
        <v>0</v>
      </c>
      <c r="AR72" s="188">
        <v>1</v>
      </c>
      <c r="AS72" s="188">
        <f t="shared" si="14"/>
        <v>17697</v>
      </c>
      <c r="AT72" s="187"/>
      <c r="AU72" s="187"/>
      <c r="AV72" s="328">
        <f t="shared" si="26"/>
        <v>393382.18875</v>
      </c>
    </row>
    <row r="73" s="117" customFormat="1" ht="45.75" customHeight="1" spans="1:48">
      <c r="A73" s="448">
        <v>25</v>
      </c>
      <c r="B73" s="449" t="s">
        <v>162</v>
      </c>
      <c r="C73" s="145" t="s">
        <v>28</v>
      </c>
      <c r="D73" s="145" t="s">
        <v>98</v>
      </c>
      <c r="E73" s="144" t="s">
        <v>163</v>
      </c>
      <c r="F73" s="146" t="s">
        <v>150</v>
      </c>
      <c r="G73" s="147">
        <v>5.16</v>
      </c>
      <c r="H73" s="148" t="s">
        <v>164</v>
      </c>
      <c r="I73" s="189">
        <f t="shared" si="33"/>
        <v>91316.52</v>
      </c>
      <c r="J73" s="186">
        <f t="shared" si="34"/>
        <v>22829.13</v>
      </c>
      <c r="K73" s="186">
        <f t="shared" si="35"/>
        <v>57072.825</v>
      </c>
      <c r="L73" s="186">
        <f t="shared" si="36"/>
        <v>171218.475</v>
      </c>
      <c r="M73" s="186"/>
      <c r="N73" s="187"/>
      <c r="O73" s="188"/>
      <c r="P73" s="187">
        <v>6</v>
      </c>
      <c r="Q73" s="191"/>
      <c r="R73" s="191">
        <f t="shared" si="7"/>
        <v>0</v>
      </c>
      <c r="S73" s="191">
        <f t="shared" si="8"/>
        <v>0</v>
      </c>
      <c r="T73" s="191">
        <f t="shared" si="9"/>
        <v>64206.928125</v>
      </c>
      <c r="U73" s="191">
        <f t="shared" si="27"/>
        <v>64206.928125</v>
      </c>
      <c r="V73" s="224">
        <f t="shared" si="28"/>
        <v>6420.6928125</v>
      </c>
      <c r="W73" s="187"/>
      <c r="X73" s="192">
        <f t="shared" si="4"/>
        <v>0</v>
      </c>
      <c r="Y73" s="187">
        <v>6</v>
      </c>
      <c r="Z73" s="186">
        <f t="shared" si="10"/>
        <v>19262.0784375</v>
      </c>
      <c r="AA73" s="189">
        <v>0</v>
      </c>
      <c r="AB73" s="191"/>
      <c r="AC73" s="186">
        <f t="shared" si="11"/>
        <v>0</v>
      </c>
      <c r="AD73" s="443"/>
      <c r="AE73" s="267"/>
      <c r="AF73" s="187"/>
      <c r="AG73" s="192">
        <f t="shared" si="12"/>
        <v>0</v>
      </c>
      <c r="AH73" s="192">
        <f t="shared" si="13"/>
        <v>0</v>
      </c>
      <c r="AI73" s="305"/>
      <c r="AJ73" s="192"/>
      <c r="AK73" s="187">
        <f t="shared" si="29"/>
        <v>0</v>
      </c>
      <c r="AL73" s="187">
        <f t="shared" si="30"/>
        <v>0</v>
      </c>
      <c r="AM73" s="187"/>
      <c r="AN73" s="187">
        <f t="shared" si="31"/>
        <v>0</v>
      </c>
      <c r="AO73" s="187"/>
      <c r="AP73" s="187"/>
      <c r="AQ73" s="188">
        <f t="shared" si="32"/>
        <v>0</v>
      </c>
      <c r="AR73" s="188"/>
      <c r="AS73" s="188">
        <f t="shared" si="14"/>
        <v>0</v>
      </c>
      <c r="AT73" s="187"/>
      <c r="AU73" s="187"/>
      <c r="AV73" s="328">
        <f t="shared" si="26"/>
        <v>89889.699375</v>
      </c>
    </row>
    <row r="74" s="118" customFormat="1" ht="45.75" customHeight="1" spans="1:48">
      <c r="A74" s="448">
        <v>26</v>
      </c>
      <c r="B74" s="436" t="s">
        <v>165</v>
      </c>
      <c r="C74" s="144" t="s">
        <v>97</v>
      </c>
      <c r="D74" s="145" t="s">
        <v>98</v>
      </c>
      <c r="E74" s="144" t="s">
        <v>149</v>
      </c>
      <c r="F74" s="154" t="s">
        <v>120</v>
      </c>
      <c r="G74" s="154">
        <v>4.36</v>
      </c>
      <c r="H74" s="155" t="s">
        <v>166</v>
      </c>
      <c r="I74" s="189">
        <f t="shared" si="33"/>
        <v>77158.92</v>
      </c>
      <c r="J74" s="186">
        <f t="shared" si="34"/>
        <v>19289.73</v>
      </c>
      <c r="K74" s="186">
        <f t="shared" si="35"/>
        <v>48224.325</v>
      </c>
      <c r="L74" s="186">
        <f t="shared" si="36"/>
        <v>144672.975</v>
      </c>
      <c r="M74" s="186"/>
      <c r="N74" s="188"/>
      <c r="O74" s="188">
        <v>25</v>
      </c>
      <c r="P74" s="188"/>
      <c r="Q74" s="191"/>
      <c r="R74" s="191">
        <f t="shared" si="7"/>
        <v>0</v>
      </c>
      <c r="S74" s="191">
        <f t="shared" si="8"/>
        <v>226051.5234375</v>
      </c>
      <c r="T74" s="191">
        <f t="shared" si="9"/>
        <v>0</v>
      </c>
      <c r="U74" s="191">
        <f t="shared" si="27"/>
        <v>226051.5234375</v>
      </c>
      <c r="V74" s="224">
        <f t="shared" si="28"/>
        <v>22605.15234375</v>
      </c>
      <c r="W74" s="188"/>
      <c r="X74" s="192">
        <f t="shared" si="4"/>
        <v>0</v>
      </c>
      <c r="Y74" s="187">
        <v>30</v>
      </c>
      <c r="Z74" s="186">
        <f t="shared" si="10"/>
        <v>81378.5484375</v>
      </c>
      <c r="AA74" s="189">
        <v>30</v>
      </c>
      <c r="AB74" s="268">
        <v>30</v>
      </c>
      <c r="AC74" s="186">
        <f t="shared" si="11"/>
        <v>81378.5484375</v>
      </c>
      <c r="AD74" s="189"/>
      <c r="AE74" s="267"/>
      <c r="AF74" s="188">
        <v>18.5</v>
      </c>
      <c r="AG74" s="192">
        <f t="shared" si="12"/>
        <v>0</v>
      </c>
      <c r="AH74" s="192">
        <f t="shared" si="13"/>
        <v>10231.078125</v>
      </c>
      <c r="AI74" s="192"/>
      <c r="AJ74" s="192">
        <v>1</v>
      </c>
      <c r="AK74" s="187">
        <f t="shared" si="29"/>
        <v>0</v>
      </c>
      <c r="AL74" s="187">
        <f t="shared" si="30"/>
        <v>10618.2</v>
      </c>
      <c r="AM74" s="187"/>
      <c r="AN74" s="187">
        <f t="shared" si="31"/>
        <v>0</v>
      </c>
      <c r="AO74" s="188"/>
      <c r="AP74" s="188"/>
      <c r="AQ74" s="188">
        <f t="shared" si="32"/>
        <v>0</v>
      </c>
      <c r="AR74" s="188"/>
      <c r="AS74" s="188">
        <f t="shared" si="14"/>
        <v>0</v>
      </c>
      <c r="AT74" s="188"/>
      <c r="AU74" s="188"/>
      <c r="AV74" s="328">
        <f t="shared" si="26"/>
        <v>432263.05078125</v>
      </c>
    </row>
    <row r="75" s="118" customFormat="1" ht="37.5" customHeight="1" spans="1:48">
      <c r="A75" s="450">
        <v>27</v>
      </c>
      <c r="B75" s="150" t="s">
        <v>167</v>
      </c>
      <c r="C75" s="145" t="s">
        <v>168</v>
      </c>
      <c r="D75" s="145" t="s">
        <v>98</v>
      </c>
      <c r="E75" s="145" t="s">
        <v>163</v>
      </c>
      <c r="F75" s="147" t="s">
        <v>150</v>
      </c>
      <c r="G75" s="147">
        <v>4.74</v>
      </c>
      <c r="H75" s="148" t="s">
        <v>169</v>
      </c>
      <c r="I75" s="189">
        <f t="shared" si="33"/>
        <v>83883.78</v>
      </c>
      <c r="J75" s="186">
        <f t="shared" si="34"/>
        <v>20970.945</v>
      </c>
      <c r="K75" s="186">
        <f t="shared" si="35"/>
        <v>52427.3625</v>
      </c>
      <c r="L75" s="186">
        <f t="shared" si="36"/>
        <v>157282.0875</v>
      </c>
      <c r="M75" s="186"/>
      <c r="N75" s="188">
        <v>4</v>
      </c>
      <c r="O75" s="188">
        <v>5</v>
      </c>
      <c r="P75" s="188">
        <v>1</v>
      </c>
      <c r="Q75" s="191">
        <f t="shared" ref="Q75:Q81" si="37">M75/24*L75</f>
        <v>0</v>
      </c>
      <c r="R75" s="191">
        <f t="shared" si="7"/>
        <v>39320.521875</v>
      </c>
      <c r="S75" s="191">
        <f t="shared" si="8"/>
        <v>49150.65234375</v>
      </c>
      <c r="T75" s="191">
        <f t="shared" si="9"/>
        <v>9830.13046875</v>
      </c>
      <c r="U75" s="191">
        <f t="shared" si="27"/>
        <v>98301.3046875</v>
      </c>
      <c r="V75" s="224">
        <f t="shared" si="28"/>
        <v>9830.13046875</v>
      </c>
      <c r="W75" s="188"/>
      <c r="X75" s="192">
        <f t="shared" si="4"/>
        <v>0</v>
      </c>
      <c r="Y75" s="187">
        <v>10</v>
      </c>
      <c r="Z75" s="186">
        <f t="shared" si="10"/>
        <v>29490.39140625</v>
      </c>
      <c r="AA75" s="189">
        <v>0</v>
      </c>
      <c r="AB75" s="268"/>
      <c r="AC75" s="186">
        <f t="shared" si="11"/>
        <v>0</v>
      </c>
      <c r="AD75" s="189"/>
      <c r="AE75" s="267"/>
      <c r="AF75" s="188"/>
      <c r="AG75" s="192">
        <f t="shared" si="12"/>
        <v>0</v>
      </c>
      <c r="AH75" s="192">
        <f t="shared" si="13"/>
        <v>0</v>
      </c>
      <c r="AI75" s="192"/>
      <c r="AJ75" s="192"/>
      <c r="AK75" s="187">
        <f t="shared" si="29"/>
        <v>0</v>
      </c>
      <c r="AL75" s="187">
        <f t="shared" si="30"/>
        <v>0</v>
      </c>
      <c r="AM75" s="187"/>
      <c r="AN75" s="187">
        <f t="shared" si="31"/>
        <v>0</v>
      </c>
      <c r="AO75" s="188"/>
      <c r="AP75" s="188"/>
      <c r="AQ75" s="188">
        <f t="shared" si="32"/>
        <v>0</v>
      </c>
      <c r="AR75" s="188"/>
      <c r="AS75" s="188">
        <f t="shared" si="14"/>
        <v>0</v>
      </c>
      <c r="AT75" s="188"/>
      <c r="AU75" s="188"/>
      <c r="AV75" s="328">
        <f t="shared" si="26"/>
        <v>137621.8265625</v>
      </c>
    </row>
    <row r="76" s="117" customFormat="1" ht="45.75" customHeight="1" spans="1:48">
      <c r="A76" s="448"/>
      <c r="B76" s="143" t="s">
        <v>158</v>
      </c>
      <c r="C76" s="144" t="s">
        <v>170</v>
      </c>
      <c r="D76" s="144" t="s">
        <v>98</v>
      </c>
      <c r="E76" s="144" t="s">
        <v>171</v>
      </c>
      <c r="F76" s="154" t="s">
        <v>136</v>
      </c>
      <c r="G76" s="154">
        <v>4.23</v>
      </c>
      <c r="H76" s="148" t="s">
        <v>153</v>
      </c>
      <c r="I76" s="443">
        <f t="shared" si="33"/>
        <v>74858.31</v>
      </c>
      <c r="J76" s="186">
        <f t="shared" si="34"/>
        <v>18714.5775</v>
      </c>
      <c r="K76" s="186">
        <f t="shared" si="35"/>
        <v>46786.44375</v>
      </c>
      <c r="L76" s="186">
        <f t="shared" si="36"/>
        <v>140359.33125</v>
      </c>
      <c r="M76" s="186"/>
      <c r="N76" s="187"/>
      <c r="O76" s="188">
        <v>3</v>
      </c>
      <c r="P76" s="187">
        <v>4</v>
      </c>
      <c r="Q76" s="191">
        <f t="shared" si="37"/>
        <v>0</v>
      </c>
      <c r="R76" s="191">
        <f t="shared" si="7"/>
        <v>0</v>
      </c>
      <c r="S76" s="191">
        <f t="shared" si="8"/>
        <v>26317.374609375</v>
      </c>
      <c r="T76" s="191">
        <f t="shared" si="9"/>
        <v>35089.8328125</v>
      </c>
      <c r="U76" s="191">
        <f t="shared" si="27"/>
        <v>61407.207421875</v>
      </c>
      <c r="V76" s="224">
        <f t="shared" si="28"/>
        <v>6140.7207421875</v>
      </c>
      <c r="W76" s="187"/>
      <c r="X76" s="192">
        <f t="shared" si="4"/>
        <v>0</v>
      </c>
      <c r="Y76" s="187">
        <v>7</v>
      </c>
      <c r="Z76" s="186">
        <f t="shared" si="10"/>
        <v>18422.1622265625</v>
      </c>
      <c r="AA76" s="189">
        <v>0</v>
      </c>
      <c r="AB76" s="268"/>
      <c r="AC76" s="186">
        <f t="shared" si="11"/>
        <v>0</v>
      </c>
      <c r="AD76" s="443"/>
      <c r="AE76" s="267"/>
      <c r="AF76" s="187"/>
      <c r="AG76" s="192">
        <f t="shared" si="12"/>
        <v>0</v>
      </c>
      <c r="AH76" s="192">
        <f t="shared" si="13"/>
        <v>0</v>
      </c>
      <c r="AI76" s="192"/>
      <c r="AJ76" s="192"/>
      <c r="AK76" s="187">
        <f t="shared" si="29"/>
        <v>0</v>
      </c>
      <c r="AL76" s="187">
        <f t="shared" si="30"/>
        <v>0</v>
      </c>
      <c r="AM76" s="187"/>
      <c r="AN76" s="187">
        <f t="shared" si="31"/>
        <v>0</v>
      </c>
      <c r="AO76" s="187"/>
      <c r="AP76" s="187"/>
      <c r="AQ76" s="188">
        <f t="shared" si="32"/>
        <v>0</v>
      </c>
      <c r="AR76" s="188"/>
      <c r="AS76" s="188">
        <f t="shared" si="14"/>
        <v>0</v>
      </c>
      <c r="AT76" s="187"/>
      <c r="AU76" s="187"/>
      <c r="AV76" s="328">
        <f t="shared" si="26"/>
        <v>85970.090390625</v>
      </c>
    </row>
    <row r="77" s="117" customFormat="1" ht="45.75" customHeight="1" spans="1:48">
      <c r="A77" s="451">
        <v>28</v>
      </c>
      <c r="B77" s="143" t="s">
        <v>172</v>
      </c>
      <c r="C77" s="144" t="s">
        <v>111</v>
      </c>
      <c r="D77" s="144" t="s">
        <v>173</v>
      </c>
      <c r="E77" s="144" t="s">
        <v>171</v>
      </c>
      <c r="F77" s="154" t="s">
        <v>136</v>
      </c>
      <c r="G77" s="154">
        <v>4.73</v>
      </c>
      <c r="H77" s="148" t="s">
        <v>174</v>
      </c>
      <c r="I77" s="443">
        <f t="shared" si="33"/>
        <v>83706.81</v>
      </c>
      <c r="J77" s="186">
        <f t="shared" si="34"/>
        <v>20926.7025</v>
      </c>
      <c r="K77" s="186">
        <f t="shared" si="35"/>
        <v>52316.75625</v>
      </c>
      <c r="L77" s="186">
        <f t="shared" si="36"/>
        <v>156950.26875</v>
      </c>
      <c r="M77" s="186"/>
      <c r="N77" s="187">
        <v>17</v>
      </c>
      <c r="O77" s="188"/>
      <c r="P77" s="187"/>
      <c r="Q77" s="191">
        <f t="shared" si="37"/>
        <v>0</v>
      </c>
      <c r="R77" s="191">
        <f t="shared" si="7"/>
        <v>166759.660546875</v>
      </c>
      <c r="S77" s="191">
        <f t="shared" si="8"/>
        <v>0</v>
      </c>
      <c r="T77" s="191">
        <f t="shared" si="9"/>
        <v>0</v>
      </c>
      <c r="U77" s="191">
        <f t="shared" si="27"/>
        <v>166759.660546875</v>
      </c>
      <c r="V77" s="224">
        <f t="shared" si="28"/>
        <v>16675.9660546875</v>
      </c>
      <c r="W77" s="187"/>
      <c r="X77" s="192">
        <f t="shared" si="4"/>
        <v>0</v>
      </c>
      <c r="Y77" s="187">
        <f>N77+O77+P77</f>
        <v>17</v>
      </c>
      <c r="Z77" s="186">
        <f t="shared" si="10"/>
        <v>50027.8981640625</v>
      </c>
      <c r="AA77" s="189">
        <v>0</v>
      </c>
      <c r="AB77" s="268"/>
      <c r="AC77" s="186">
        <f t="shared" si="11"/>
        <v>0</v>
      </c>
      <c r="AD77" s="443"/>
      <c r="AE77" s="267">
        <v>16</v>
      </c>
      <c r="AF77" s="187"/>
      <c r="AG77" s="192">
        <f t="shared" si="12"/>
        <v>7078.8</v>
      </c>
      <c r="AH77" s="192">
        <f t="shared" si="13"/>
        <v>0</v>
      </c>
      <c r="AI77" s="305">
        <v>1</v>
      </c>
      <c r="AJ77" s="305"/>
      <c r="AK77" s="187">
        <f t="shared" si="29"/>
        <v>8848.5</v>
      </c>
      <c r="AL77" s="187">
        <f t="shared" si="30"/>
        <v>0</v>
      </c>
      <c r="AM77" s="187"/>
      <c r="AN77" s="187">
        <f t="shared" si="31"/>
        <v>0</v>
      </c>
      <c r="AO77" s="187"/>
      <c r="AP77" s="187"/>
      <c r="AQ77" s="188">
        <f t="shared" si="32"/>
        <v>0</v>
      </c>
      <c r="AR77" s="188"/>
      <c r="AS77" s="188">
        <f t="shared" si="14"/>
        <v>0</v>
      </c>
      <c r="AT77" s="187"/>
      <c r="AU77" s="187"/>
      <c r="AV77" s="328">
        <f t="shared" si="26"/>
        <v>249390.824765625</v>
      </c>
    </row>
    <row r="78" s="117" customFormat="1" ht="45.75" customHeight="1" spans="1:48">
      <c r="A78" s="142">
        <v>29</v>
      </c>
      <c r="B78" s="143" t="s">
        <v>175</v>
      </c>
      <c r="C78" s="145" t="s">
        <v>143</v>
      </c>
      <c r="D78" s="145" t="s">
        <v>98</v>
      </c>
      <c r="E78" s="145" t="s">
        <v>171</v>
      </c>
      <c r="F78" s="147" t="s">
        <v>136</v>
      </c>
      <c r="G78" s="147">
        <v>4.23</v>
      </c>
      <c r="H78" s="148" t="s">
        <v>153</v>
      </c>
      <c r="I78" s="443">
        <f t="shared" si="33"/>
        <v>74858.31</v>
      </c>
      <c r="J78" s="186">
        <f t="shared" si="34"/>
        <v>18714.5775</v>
      </c>
      <c r="K78" s="186">
        <f t="shared" si="35"/>
        <v>46786.44375</v>
      </c>
      <c r="L78" s="186">
        <f t="shared" si="36"/>
        <v>140359.33125</v>
      </c>
      <c r="M78" s="186"/>
      <c r="N78" s="187"/>
      <c r="O78" s="188">
        <v>10</v>
      </c>
      <c r="P78" s="187">
        <v>12</v>
      </c>
      <c r="Q78" s="191">
        <f t="shared" si="37"/>
        <v>0</v>
      </c>
      <c r="R78" s="191">
        <f t="shared" si="7"/>
        <v>0</v>
      </c>
      <c r="S78" s="191">
        <f t="shared" si="8"/>
        <v>87724.58203125</v>
      </c>
      <c r="T78" s="191">
        <f t="shared" si="9"/>
        <v>105269.4984375</v>
      </c>
      <c r="U78" s="191">
        <f t="shared" si="27"/>
        <v>192994.08046875</v>
      </c>
      <c r="V78" s="224">
        <f t="shared" si="28"/>
        <v>19299.408046875</v>
      </c>
      <c r="W78" s="187"/>
      <c r="X78" s="192">
        <f t="shared" si="4"/>
        <v>0</v>
      </c>
      <c r="Y78" s="187">
        <f>N78+O78+P78</f>
        <v>22</v>
      </c>
      <c r="Z78" s="186">
        <f t="shared" si="10"/>
        <v>57898.224140625</v>
      </c>
      <c r="AA78" s="189">
        <v>0</v>
      </c>
      <c r="AB78" s="268"/>
      <c r="AC78" s="186">
        <f t="shared" si="11"/>
        <v>0</v>
      </c>
      <c r="AD78" s="186"/>
      <c r="AE78" s="267">
        <v>1.5</v>
      </c>
      <c r="AF78" s="187"/>
      <c r="AG78" s="192">
        <f t="shared" si="12"/>
        <v>663.6375</v>
      </c>
      <c r="AH78" s="192">
        <f t="shared" si="13"/>
        <v>0</v>
      </c>
      <c r="AI78" s="192"/>
      <c r="AJ78" s="305"/>
      <c r="AK78" s="187">
        <f t="shared" si="29"/>
        <v>0</v>
      </c>
      <c r="AL78" s="187">
        <f t="shared" si="30"/>
        <v>0</v>
      </c>
      <c r="AM78" s="187"/>
      <c r="AN78" s="187">
        <f t="shared" si="31"/>
        <v>0</v>
      </c>
      <c r="AO78" s="187"/>
      <c r="AP78" s="187"/>
      <c r="AQ78" s="188">
        <f t="shared" si="32"/>
        <v>0</v>
      </c>
      <c r="AR78" s="188"/>
      <c r="AS78" s="188">
        <f t="shared" si="14"/>
        <v>0</v>
      </c>
      <c r="AT78" s="187"/>
      <c r="AU78" s="187"/>
      <c r="AV78" s="328">
        <f t="shared" si="26"/>
        <v>270855.35015625</v>
      </c>
    </row>
    <row r="79" s="117" customFormat="1" ht="45.75" customHeight="1" spans="1:48">
      <c r="A79" s="142">
        <v>30</v>
      </c>
      <c r="B79" s="143" t="s">
        <v>139</v>
      </c>
      <c r="C79" s="144" t="s">
        <v>170</v>
      </c>
      <c r="D79" s="144" t="s">
        <v>98</v>
      </c>
      <c r="E79" s="145" t="s">
        <v>171</v>
      </c>
      <c r="F79" s="147" t="s">
        <v>136</v>
      </c>
      <c r="G79" s="147">
        <v>4.23</v>
      </c>
      <c r="H79" s="148" t="s">
        <v>153</v>
      </c>
      <c r="I79" s="443">
        <f t="shared" si="33"/>
        <v>74858.31</v>
      </c>
      <c r="J79" s="186">
        <f t="shared" si="34"/>
        <v>18714.5775</v>
      </c>
      <c r="K79" s="186">
        <f t="shared" si="35"/>
        <v>46786.44375</v>
      </c>
      <c r="L79" s="186">
        <f t="shared" si="36"/>
        <v>140359.33125</v>
      </c>
      <c r="M79" s="186"/>
      <c r="N79" s="187">
        <v>1</v>
      </c>
      <c r="O79" s="188">
        <v>3</v>
      </c>
      <c r="P79" s="187">
        <v>2</v>
      </c>
      <c r="Q79" s="191">
        <f t="shared" si="37"/>
        <v>0</v>
      </c>
      <c r="R79" s="191">
        <f t="shared" si="7"/>
        <v>8772.458203125</v>
      </c>
      <c r="S79" s="191">
        <f t="shared" si="8"/>
        <v>26317.374609375</v>
      </c>
      <c r="T79" s="191">
        <f t="shared" si="9"/>
        <v>17544.91640625</v>
      </c>
      <c r="U79" s="191">
        <f t="shared" si="27"/>
        <v>52634.74921875</v>
      </c>
      <c r="V79" s="224">
        <f t="shared" si="28"/>
        <v>5263.474921875</v>
      </c>
      <c r="W79" s="187"/>
      <c r="X79" s="192">
        <f t="shared" si="4"/>
        <v>0</v>
      </c>
      <c r="Y79" s="187">
        <v>6</v>
      </c>
      <c r="Z79" s="186">
        <f t="shared" si="10"/>
        <v>15790.424765625</v>
      </c>
      <c r="AA79" s="189">
        <v>0</v>
      </c>
      <c r="AB79" s="268"/>
      <c r="AC79" s="186">
        <f t="shared" si="11"/>
        <v>0</v>
      </c>
      <c r="AD79" s="186"/>
      <c r="AE79" s="267"/>
      <c r="AF79" s="187"/>
      <c r="AG79" s="192">
        <f t="shared" si="12"/>
        <v>0</v>
      </c>
      <c r="AH79" s="192">
        <f t="shared" si="13"/>
        <v>0</v>
      </c>
      <c r="AI79" s="192"/>
      <c r="AJ79" s="192"/>
      <c r="AK79" s="187">
        <f t="shared" si="29"/>
        <v>0</v>
      </c>
      <c r="AL79" s="187">
        <f t="shared" si="30"/>
        <v>0</v>
      </c>
      <c r="AM79" s="187"/>
      <c r="AN79" s="187">
        <f t="shared" si="31"/>
        <v>0</v>
      </c>
      <c r="AO79" s="187"/>
      <c r="AP79" s="187"/>
      <c r="AQ79" s="188">
        <f t="shared" si="32"/>
        <v>0</v>
      </c>
      <c r="AR79" s="188"/>
      <c r="AS79" s="188">
        <f t="shared" si="14"/>
        <v>0</v>
      </c>
      <c r="AT79" s="187"/>
      <c r="AU79" s="187"/>
      <c r="AV79" s="328">
        <f t="shared" si="26"/>
        <v>73688.64890625</v>
      </c>
    </row>
    <row r="80" s="117" customFormat="1" ht="45.75" customHeight="1" spans="1:48">
      <c r="A80" s="142">
        <v>31</v>
      </c>
      <c r="B80" s="143" t="s">
        <v>176</v>
      </c>
      <c r="C80" s="144" t="s">
        <v>111</v>
      </c>
      <c r="D80" s="144" t="s">
        <v>173</v>
      </c>
      <c r="E80" s="145" t="s">
        <v>171</v>
      </c>
      <c r="F80" s="146" t="s">
        <v>177</v>
      </c>
      <c r="G80" s="147">
        <v>3.73</v>
      </c>
      <c r="H80" s="147" t="s">
        <v>178</v>
      </c>
      <c r="I80" s="443">
        <f t="shared" si="33"/>
        <v>66009.81</v>
      </c>
      <c r="J80" s="186">
        <f t="shared" si="34"/>
        <v>16502.4525</v>
      </c>
      <c r="K80" s="186">
        <f t="shared" si="35"/>
        <v>41256.13125</v>
      </c>
      <c r="L80" s="186">
        <f t="shared" si="36"/>
        <v>123768.39375</v>
      </c>
      <c r="M80" s="186"/>
      <c r="N80" s="187">
        <v>15</v>
      </c>
      <c r="O80" s="188"/>
      <c r="P80" s="187"/>
      <c r="Q80" s="191">
        <f t="shared" si="37"/>
        <v>0</v>
      </c>
      <c r="R80" s="191">
        <f t="shared" si="7"/>
        <v>116032.869140625</v>
      </c>
      <c r="S80" s="191">
        <f t="shared" si="8"/>
        <v>0</v>
      </c>
      <c r="T80" s="191">
        <f t="shared" si="9"/>
        <v>0</v>
      </c>
      <c r="U80" s="191">
        <f t="shared" si="27"/>
        <v>116032.869140625</v>
      </c>
      <c r="V80" s="224">
        <f t="shared" si="28"/>
        <v>11603.2869140625</v>
      </c>
      <c r="W80" s="187"/>
      <c r="X80" s="192">
        <f t="shared" si="4"/>
        <v>0</v>
      </c>
      <c r="Y80" s="187">
        <v>15</v>
      </c>
      <c r="Z80" s="186">
        <f t="shared" si="10"/>
        <v>34809.8607421875</v>
      </c>
      <c r="AA80" s="189">
        <v>0</v>
      </c>
      <c r="AB80" s="268"/>
      <c r="AC80" s="186">
        <f t="shared" si="11"/>
        <v>0</v>
      </c>
      <c r="AD80" s="186"/>
      <c r="AE80" s="267">
        <v>16</v>
      </c>
      <c r="AF80" s="187"/>
      <c r="AG80" s="192">
        <f t="shared" si="12"/>
        <v>7078.8</v>
      </c>
      <c r="AH80" s="192">
        <f t="shared" si="13"/>
        <v>0</v>
      </c>
      <c r="AI80" s="192">
        <v>1</v>
      </c>
      <c r="AJ80" s="192"/>
      <c r="AK80" s="187">
        <f t="shared" si="29"/>
        <v>8848.5</v>
      </c>
      <c r="AL80" s="187">
        <f t="shared" si="30"/>
        <v>0</v>
      </c>
      <c r="AM80" s="187">
        <v>100</v>
      </c>
      <c r="AN80" s="187">
        <f t="shared" si="31"/>
        <v>3539.4</v>
      </c>
      <c r="AO80" s="187"/>
      <c r="AP80" s="187"/>
      <c r="AQ80" s="188">
        <f t="shared" si="32"/>
        <v>0</v>
      </c>
      <c r="AR80" s="188"/>
      <c r="AS80" s="188">
        <f t="shared" si="14"/>
        <v>0</v>
      </c>
      <c r="AT80" s="187"/>
      <c r="AU80" s="187"/>
      <c r="AV80" s="328">
        <f t="shared" si="26"/>
        <v>181912.716796875</v>
      </c>
    </row>
    <row r="81" s="117" customFormat="1" ht="55.5" customHeight="1" spans="1:48">
      <c r="A81" s="142">
        <v>32</v>
      </c>
      <c r="B81" s="432" t="s">
        <v>179</v>
      </c>
      <c r="C81" s="145" t="s">
        <v>180</v>
      </c>
      <c r="D81" s="145" t="s">
        <v>173</v>
      </c>
      <c r="E81" s="145" t="s">
        <v>171</v>
      </c>
      <c r="F81" s="146" t="s">
        <v>177</v>
      </c>
      <c r="G81" s="147">
        <v>3.73</v>
      </c>
      <c r="H81" s="148" t="s">
        <v>166</v>
      </c>
      <c r="I81" s="443">
        <f t="shared" si="33"/>
        <v>66009.81</v>
      </c>
      <c r="J81" s="186">
        <f t="shared" si="34"/>
        <v>16502.4525</v>
      </c>
      <c r="K81" s="186">
        <f t="shared" si="35"/>
        <v>41256.13125</v>
      </c>
      <c r="L81" s="186">
        <f t="shared" si="36"/>
        <v>123768.39375</v>
      </c>
      <c r="M81" s="186"/>
      <c r="N81" s="187">
        <v>3</v>
      </c>
      <c r="O81" s="187">
        <v>18</v>
      </c>
      <c r="P81" s="187"/>
      <c r="Q81" s="191">
        <f t="shared" si="37"/>
        <v>0</v>
      </c>
      <c r="R81" s="191">
        <f t="shared" si="7"/>
        <v>23206.573828125</v>
      </c>
      <c r="S81" s="191">
        <f t="shared" si="8"/>
        <v>139239.44296875</v>
      </c>
      <c r="T81" s="191">
        <f t="shared" si="9"/>
        <v>0</v>
      </c>
      <c r="U81" s="191">
        <f t="shared" si="27"/>
        <v>162446.016796875</v>
      </c>
      <c r="V81" s="224">
        <f t="shared" si="28"/>
        <v>16244.6016796875</v>
      </c>
      <c r="W81" s="187"/>
      <c r="X81" s="192">
        <f t="shared" si="4"/>
        <v>0</v>
      </c>
      <c r="Y81" s="187">
        <v>21</v>
      </c>
      <c r="Z81" s="186">
        <f t="shared" si="10"/>
        <v>48733.8050390625</v>
      </c>
      <c r="AA81" s="189">
        <v>0</v>
      </c>
      <c r="AB81" s="268"/>
      <c r="AC81" s="186">
        <f t="shared" si="11"/>
        <v>0</v>
      </c>
      <c r="AD81" s="186"/>
      <c r="AE81" s="267"/>
      <c r="AF81" s="187"/>
      <c r="AG81" s="192">
        <f t="shared" si="12"/>
        <v>0</v>
      </c>
      <c r="AH81" s="192">
        <f t="shared" si="13"/>
        <v>0</v>
      </c>
      <c r="AI81" s="192"/>
      <c r="AJ81" s="305">
        <v>0.5</v>
      </c>
      <c r="AK81" s="187">
        <f t="shared" si="29"/>
        <v>0</v>
      </c>
      <c r="AL81" s="187">
        <f t="shared" si="30"/>
        <v>5309.1</v>
      </c>
      <c r="AM81" s="187"/>
      <c r="AN81" s="187">
        <f t="shared" si="31"/>
        <v>0</v>
      </c>
      <c r="AO81" s="187"/>
      <c r="AP81" s="187"/>
      <c r="AQ81" s="188">
        <f t="shared" si="32"/>
        <v>0</v>
      </c>
      <c r="AR81" s="188"/>
      <c r="AS81" s="188">
        <f t="shared" si="14"/>
        <v>0</v>
      </c>
      <c r="AT81" s="187"/>
      <c r="AU81" s="187"/>
      <c r="AV81" s="328">
        <f t="shared" si="26"/>
        <v>232733.523515625</v>
      </c>
    </row>
    <row r="82" s="117" customFormat="1" ht="36.75" customHeight="1" spans="1:48">
      <c r="A82" s="142">
        <v>32</v>
      </c>
      <c r="B82" s="152" t="s">
        <v>181</v>
      </c>
      <c r="C82" s="152"/>
      <c r="D82" s="152"/>
      <c r="E82" s="153"/>
      <c r="F82" s="154"/>
      <c r="G82" s="154"/>
      <c r="H82" s="155"/>
      <c r="I82" s="190">
        <f t="shared" si="33"/>
        <v>0</v>
      </c>
      <c r="J82" s="186">
        <f t="shared" si="34"/>
        <v>0</v>
      </c>
      <c r="K82" s="191">
        <f>SUM(K43:K81)</f>
        <v>2037477.73125</v>
      </c>
      <c r="L82" s="192"/>
      <c r="M82" s="193">
        <f>SUM(M43:M81)</f>
        <v>0</v>
      </c>
      <c r="N82" s="193">
        <f t="shared" ref="N82:AV82" si="38">SUM(N43:N81)</f>
        <v>206</v>
      </c>
      <c r="O82" s="193">
        <f t="shared" si="38"/>
        <v>339</v>
      </c>
      <c r="P82" s="193">
        <f t="shared" si="38"/>
        <v>111</v>
      </c>
      <c r="Q82" s="193">
        <f t="shared" si="38"/>
        <v>0</v>
      </c>
      <c r="R82" s="193">
        <f t="shared" si="38"/>
        <v>2066629.39101563</v>
      </c>
      <c r="S82" s="193">
        <f t="shared" si="38"/>
        <v>3403319.74804688</v>
      </c>
      <c r="T82" s="193">
        <f t="shared" si="38"/>
        <v>1119120.95039063</v>
      </c>
      <c r="U82" s="193">
        <f t="shared" si="38"/>
        <v>6589070.08945312</v>
      </c>
      <c r="V82" s="193">
        <f t="shared" si="38"/>
        <v>658907.008945313</v>
      </c>
      <c r="W82" s="193">
        <f t="shared" si="38"/>
        <v>17</v>
      </c>
      <c r="X82" s="193">
        <f t="shared" si="38"/>
        <v>7521.225</v>
      </c>
      <c r="Y82" s="193">
        <f t="shared" si="38"/>
        <v>660</v>
      </c>
      <c r="Z82" s="193">
        <f t="shared" si="38"/>
        <v>1987048.88542969</v>
      </c>
      <c r="AA82" s="193">
        <f t="shared" si="38"/>
        <v>446</v>
      </c>
      <c r="AB82" s="193">
        <f t="shared" si="38"/>
        <v>865</v>
      </c>
      <c r="AC82" s="193">
        <f t="shared" si="38"/>
        <v>1552264.7034375</v>
      </c>
      <c r="AD82" s="193">
        <f t="shared" si="38"/>
        <v>0</v>
      </c>
      <c r="AE82" s="193">
        <f t="shared" si="38"/>
        <v>124.925</v>
      </c>
      <c r="AF82" s="193">
        <f t="shared" si="38"/>
        <v>66.28</v>
      </c>
      <c r="AG82" s="193">
        <f t="shared" si="38"/>
        <v>55269.943125</v>
      </c>
      <c r="AH82" s="193">
        <f t="shared" si="38"/>
        <v>36654.91125</v>
      </c>
      <c r="AI82" s="193">
        <f t="shared" si="38"/>
        <v>6</v>
      </c>
      <c r="AJ82" s="193">
        <f t="shared" si="38"/>
        <v>7</v>
      </c>
      <c r="AK82" s="193">
        <f t="shared" si="38"/>
        <v>53091</v>
      </c>
      <c r="AL82" s="193">
        <f t="shared" si="38"/>
        <v>74327.4</v>
      </c>
      <c r="AM82" s="193">
        <f t="shared" si="38"/>
        <v>200</v>
      </c>
      <c r="AN82" s="193">
        <f t="shared" si="38"/>
        <v>7078.8</v>
      </c>
      <c r="AO82" s="193">
        <f t="shared" si="38"/>
        <v>0</v>
      </c>
      <c r="AP82" s="193">
        <f t="shared" si="38"/>
        <v>20</v>
      </c>
      <c r="AQ82" s="193">
        <f t="shared" si="38"/>
        <v>58340</v>
      </c>
      <c r="AR82" s="193">
        <f t="shared" si="38"/>
        <v>2</v>
      </c>
      <c r="AS82" s="193">
        <f t="shared" si="38"/>
        <v>35394</v>
      </c>
      <c r="AT82" s="193">
        <f t="shared" si="38"/>
        <v>0</v>
      </c>
      <c r="AU82" s="193">
        <f t="shared" si="38"/>
        <v>0</v>
      </c>
      <c r="AV82" s="193">
        <f t="shared" si="38"/>
        <v>11114967.9666406</v>
      </c>
    </row>
    <row r="83" s="119" customFormat="1" ht="53.25" customHeight="1" spans="1:37">
      <c r="A83" s="151"/>
      <c r="B83" s="157" t="s">
        <v>182</v>
      </c>
      <c r="C83" s="158"/>
      <c r="D83" s="157"/>
      <c r="E83" s="159"/>
      <c r="F83" s="159"/>
      <c r="G83" s="159"/>
      <c r="H83" s="159"/>
      <c r="I83" s="194"/>
      <c r="J83" s="194"/>
      <c r="K83" s="194"/>
      <c r="L83" s="194"/>
      <c r="M83" s="195"/>
      <c r="N83" s="157"/>
      <c r="O83" s="157"/>
      <c r="P83" s="157"/>
      <c r="Q83" s="157"/>
      <c r="R83" s="157"/>
      <c r="S83" s="157"/>
      <c r="T83" s="157"/>
      <c r="U83" s="157" t="s">
        <v>183</v>
      </c>
      <c r="V83" s="157"/>
      <c r="W83" s="157"/>
      <c r="X83" s="157"/>
      <c r="Y83" s="157"/>
      <c r="Z83" s="157"/>
      <c r="AA83" s="157"/>
      <c r="AB83" s="269"/>
      <c r="AC83" s="269"/>
      <c r="AD83" s="157"/>
      <c r="AF83" s="157"/>
      <c r="AG83" s="157"/>
      <c r="AH83" s="157"/>
      <c r="AI83" s="157"/>
      <c r="AJ83" s="157"/>
      <c r="AK83" s="306"/>
    </row>
    <row r="84" s="1" customFormat="1" ht="33.75" customHeight="1" spans="1:37">
      <c r="A84" s="156"/>
      <c r="B84" s="35"/>
      <c r="C84" s="35"/>
      <c r="D84" s="35"/>
      <c r="E84" s="36"/>
      <c r="F84" s="36"/>
      <c r="G84" s="36"/>
      <c r="H84" s="36"/>
      <c r="I84" s="62"/>
      <c r="J84" s="62"/>
      <c r="K84" s="62"/>
      <c r="L84" s="62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96"/>
      <c r="AC84" s="96"/>
      <c r="AD84" s="96"/>
      <c r="AE84" s="97"/>
      <c r="AF84" s="35"/>
      <c r="AG84" s="35"/>
      <c r="AH84" s="35"/>
      <c r="AI84" s="35"/>
      <c r="AJ84" s="35"/>
      <c r="AK84" s="35"/>
    </row>
    <row r="85" s="1" customFormat="1" ht="35.25" hidden="1" spans="1:37">
      <c r="A85" s="34"/>
      <c r="B85" s="35"/>
      <c r="C85" s="37"/>
      <c r="D85" s="37"/>
      <c r="E85" s="38"/>
      <c r="F85" s="38"/>
      <c r="G85" s="38"/>
      <c r="H85" s="38"/>
      <c r="I85" s="63"/>
      <c r="J85" s="63"/>
      <c r="K85" s="63"/>
      <c r="L85" s="63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98"/>
      <c r="AF85" s="37"/>
      <c r="AG85" s="37"/>
      <c r="AH85" s="37"/>
      <c r="AI85" s="37"/>
      <c r="AJ85" s="37"/>
      <c r="AK85" s="37"/>
    </row>
    <row r="86" ht="35.25" spans="1:2">
      <c r="A86" s="7"/>
      <c r="B86" s="37"/>
    </row>
    <row r="87" ht="35.25" spans="1:1">
      <c r="A87" s="37"/>
    </row>
  </sheetData>
  <mergeCells count="72">
    <mergeCell ref="AA2:AK2"/>
    <mergeCell ref="T3:X3"/>
    <mergeCell ref="AA3:AK3"/>
    <mergeCell ref="AA4:AK4"/>
    <mergeCell ref="B5:F5"/>
    <mergeCell ref="G5:L5"/>
    <mergeCell ref="Q5:X5"/>
    <mergeCell ref="AA5:AK5"/>
    <mergeCell ref="B7:F7"/>
    <mergeCell ref="G7:P7"/>
    <mergeCell ref="Q7:X7"/>
    <mergeCell ref="AA8:AK8"/>
    <mergeCell ref="AA9:AK9"/>
    <mergeCell ref="AA10:AK10"/>
    <mergeCell ref="AA11:AK11"/>
    <mergeCell ref="AA12:AK12"/>
    <mergeCell ref="AA13:AK13"/>
    <mergeCell ref="AA14:AK14"/>
    <mergeCell ref="AA15:AK15"/>
    <mergeCell ref="AA16:AK16"/>
    <mergeCell ref="AA17:AK17"/>
    <mergeCell ref="AA18:AK18"/>
    <mergeCell ref="AA19:AK19"/>
    <mergeCell ref="AA20:AK20"/>
    <mergeCell ref="AA21:AK21"/>
    <mergeCell ref="AA22:AK22"/>
    <mergeCell ref="AA23:AK23"/>
    <mergeCell ref="AA24:AK24"/>
    <mergeCell ref="AA25:AK25"/>
    <mergeCell ref="AA26:AK26"/>
    <mergeCell ref="AA27:AK27"/>
    <mergeCell ref="AA28:AK28"/>
    <mergeCell ref="AA29:AK29"/>
    <mergeCell ref="AA30:AK30"/>
    <mergeCell ref="AA31:AK31"/>
    <mergeCell ref="Y32:AK32"/>
    <mergeCell ref="M34:AE34"/>
    <mergeCell ref="AN35:AO35"/>
    <mergeCell ref="M41:P41"/>
    <mergeCell ref="Q41:T41"/>
    <mergeCell ref="W41:X41"/>
    <mergeCell ref="Y41:Z41"/>
    <mergeCell ref="AA41:AC41"/>
    <mergeCell ref="AE41:AH41"/>
    <mergeCell ref="AI41:AU41"/>
    <mergeCell ref="AK42:AL42"/>
    <mergeCell ref="AM42:AN42"/>
    <mergeCell ref="AP42:AQ42"/>
    <mergeCell ref="AR42:AS42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U41:U42"/>
    <mergeCell ref="V41:V42"/>
    <mergeCell ref="Y6:Y7"/>
    <mergeCell ref="AD41:AD42"/>
    <mergeCell ref="AL6:AL7"/>
    <mergeCell ref="AM6:AM7"/>
    <mergeCell ref="AN6:AN7"/>
    <mergeCell ref="AO6:AO7"/>
    <mergeCell ref="AP6:AP7"/>
    <mergeCell ref="AV41:AV42"/>
    <mergeCell ref="AA6:AK7"/>
  </mergeCells>
  <pageMargins left="0.708661417322835" right="0.708661417322835" top="0.748031496062992" bottom="0.748031496062992" header="0.31496062992126" footer="0.31496062992126"/>
  <pageSetup paperSize="9" scale="40" firstPageNumber="0" fitToWidth="2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3"/>
  <sheetViews>
    <sheetView zoomScale="80" zoomScaleNormal="80" zoomScaleSheetLayoutView="32" topLeftCell="A29" workbookViewId="0">
      <selection activeCell="AE32" sqref="AE32:AE33"/>
    </sheetView>
  </sheetViews>
  <sheetFormatPr defaultColWidth="9.14444444444444" defaultRowHeight="15.75"/>
  <cols>
    <col min="1" max="1" width="7.71111111111111" style="332" customWidth="1"/>
    <col min="2" max="2" width="47.0777777777778" style="333" customWidth="1"/>
    <col min="3" max="3" width="20.7111111111111" style="332" customWidth="1"/>
    <col min="4" max="4" width="15" style="332" customWidth="1"/>
    <col min="5" max="5" width="13.1444444444444" style="332" customWidth="1"/>
    <col min="6" max="6" width="8.71111111111111" style="332" customWidth="1"/>
    <col min="7" max="7" width="13.7111111111111" style="332" customWidth="1"/>
    <col min="8" max="8" width="12.2888888888889" style="334" customWidth="1"/>
    <col min="9" max="9" width="7.85555555555556" style="332" customWidth="1"/>
    <col min="10" max="11" width="13.7111111111111" style="332" customWidth="1"/>
    <col min="12" max="12" width="10.5666666666667" style="332" customWidth="1"/>
    <col min="13" max="13" width="13.5666666666667" style="332" customWidth="1"/>
    <col min="14" max="15" width="17.4222222222222" style="332" customWidth="1"/>
    <col min="16" max="16" width="9.14444444444444" style="332"/>
    <col min="17" max="17" width="11.5666666666667" style="332" customWidth="1"/>
    <col min="18" max="18" width="7" style="332" customWidth="1"/>
    <col min="19" max="19" width="11.8555555555556" style="332" customWidth="1"/>
    <col min="20" max="20" width="7.56666666666667" style="332" customWidth="1"/>
    <col min="21" max="21" width="11.4222222222222" style="332" customWidth="1"/>
    <col min="22" max="22" width="7.85555555555556" style="332" customWidth="1"/>
    <col min="23" max="23" width="12.1444444444444" style="332" customWidth="1"/>
    <col min="24" max="24" width="7.71111111111111" style="332" customWidth="1"/>
    <col min="25" max="25" width="10" style="332" customWidth="1"/>
    <col min="26" max="26" width="7" style="332" customWidth="1"/>
    <col min="27" max="27" width="11.2888888888889" style="332" customWidth="1"/>
    <col min="28" max="28" width="12.7111111111111" style="332" customWidth="1"/>
    <col min="29" max="29" width="20.8555555555556" style="332" customWidth="1"/>
    <col min="30" max="30" width="23.7111111111111" style="332" customWidth="1"/>
    <col min="31" max="31" width="20.1444444444444" style="332" customWidth="1"/>
    <col min="32" max="32" width="17" style="332" customWidth="1"/>
    <col min="33" max="16384" width="9.14444444444444" style="332"/>
  </cols>
  <sheetData>
    <row r="1" ht="18.75" spans="1:21">
      <c r="A1" s="335"/>
      <c r="B1" s="336" t="s">
        <v>184</v>
      </c>
      <c r="C1" s="337"/>
      <c r="D1" s="338"/>
      <c r="E1" s="337" t="s">
        <v>184</v>
      </c>
      <c r="F1" s="337"/>
      <c r="G1" s="338"/>
      <c r="H1" s="339"/>
      <c r="I1" s="396"/>
      <c r="J1" s="338"/>
      <c r="K1" s="338"/>
      <c r="L1" s="338"/>
      <c r="M1" s="338"/>
      <c r="N1" s="338" t="s">
        <v>185</v>
      </c>
      <c r="O1" s="338"/>
      <c r="P1" s="338"/>
      <c r="Q1" s="338"/>
      <c r="R1" s="335"/>
      <c r="S1" s="335"/>
      <c r="T1" s="335"/>
      <c r="U1" s="347"/>
    </row>
    <row r="2" ht="18.75" spans="1:21">
      <c r="A2" s="335"/>
      <c r="B2" s="336"/>
      <c r="C2" s="337"/>
      <c r="D2" s="338"/>
      <c r="E2" s="337"/>
      <c r="F2" s="337"/>
      <c r="G2" s="338"/>
      <c r="H2" s="339"/>
      <c r="I2" s="396"/>
      <c r="J2" s="338"/>
      <c r="K2" s="338"/>
      <c r="L2" s="338"/>
      <c r="M2" s="338"/>
      <c r="N2" s="338" t="s">
        <v>186</v>
      </c>
      <c r="O2" s="338"/>
      <c r="P2" s="338"/>
      <c r="Q2" s="338" t="s">
        <v>187</v>
      </c>
      <c r="R2" s="335"/>
      <c r="S2" s="335"/>
      <c r="T2" s="335"/>
      <c r="U2" s="347"/>
    </row>
    <row r="3" ht="18.75" spans="1:21">
      <c r="A3" s="335"/>
      <c r="B3" s="340" t="s">
        <v>188</v>
      </c>
      <c r="C3" s="341"/>
      <c r="D3" s="338"/>
      <c r="E3" s="342" t="s">
        <v>15</v>
      </c>
      <c r="F3" s="343"/>
      <c r="G3" s="343"/>
      <c r="H3" s="343"/>
      <c r="I3" s="343"/>
      <c r="J3" s="343"/>
      <c r="K3" s="343"/>
      <c r="L3" s="343"/>
      <c r="M3" s="338"/>
      <c r="N3" s="338" t="s">
        <v>189</v>
      </c>
      <c r="O3" s="338"/>
      <c r="P3" s="397" t="s">
        <v>190</v>
      </c>
      <c r="Q3" s="397"/>
      <c r="R3" s="413"/>
      <c r="S3" s="335"/>
      <c r="T3" s="335"/>
      <c r="U3" s="347"/>
    </row>
    <row r="4" ht="18.75" spans="1:21">
      <c r="A4" s="335"/>
      <c r="B4" s="336"/>
      <c r="C4" s="337"/>
      <c r="D4" s="338"/>
      <c r="E4" s="337"/>
      <c r="F4" s="337"/>
      <c r="G4" s="338"/>
      <c r="H4" s="339"/>
      <c r="I4" s="396"/>
      <c r="J4" s="338"/>
      <c r="K4" s="338"/>
      <c r="L4" s="338"/>
      <c r="M4" s="338"/>
      <c r="N4" s="398" t="s">
        <v>191</v>
      </c>
      <c r="O4" s="398"/>
      <c r="P4" s="398"/>
      <c r="Q4" s="398"/>
      <c r="R4" s="398"/>
      <c r="S4" s="398"/>
      <c r="T4" s="398"/>
      <c r="U4" s="347"/>
    </row>
    <row r="5" ht="18.75" customHeight="1" spans="1:24">
      <c r="A5" s="335"/>
      <c r="B5" s="344" t="s">
        <v>39</v>
      </c>
      <c r="C5" s="337" t="s">
        <v>192</v>
      </c>
      <c r="D5" s="338"/>
      <c r="E5" s="345" t="s">
        <v>39</v>
      </c>
      <c r="F5" s="346"/>
      <c r="G5" s="347"/>
      <c r="H5" s="337" t="s">
        <v>193</v>
      </c>
      <c r="I5" s="338"/>
      <c r="J5" s="338"/>
      <c r="K5" s="338"/>
      <c r="L5" s="338"/>
      <c r="M5" s="338"/>
      <c r="N5" s="399" t="s">
        <v>194</v>
      </c>
      <c r="O5" s="399"/>
      <c r="P5" s="399"/>
      <c r="Q5" s="399"/>
      <c r="R5" s="399"/>
      <c r="S5" s="399"/>
      <c r="T5" s="399"/>
      <c r="U5" s="399"/>
      <c r="V5" s="399"/>
      <c r="W5" s="399"/>
      <c r="X5" s="399"/>
    </row>
    <row r="6" ht="18.75" spans="1:24">
      <c r="A6" s="335"/>
      <c r="B6" s="336"/>
      <c r="C6" s="337"/>
      <c r="D6" s="338"/>
      <c r="E6" s="337"/>
      <c r="F6" s="337"/>
      <c r="G6" s="338"/>
      <c r="H6" s="339"/>
      <c r="I6" s="396"/>
      <c r="J6" s="338"/>
      <c r="K6" s="338"/>
      <c r="L6" s="338"/>
      <c r="M6" s="338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</row>
    <row r="7" ht="18.75" spans="1:21">
      <c r="A7" s="335"/>
      <c r="B7" s="348" t="s">
        <v>195</v>
      </c>
      <c r="C7" s="337"/>
      <c r="D7" s="338"/>
      <c r="E7" s="349" t="s">
        <v>195</v>
      </c>
      <c r="F7" s="337"/>
      <c r="G7" s="338"/>
      <c r="H7" s="339"/>
      <c r="I7" s="396"/>
      <c r="J7" s="338"/>
      <c r="K7" s="338"/>
      <c r="L7" s="338"/>
      <c r="M7" s="338"/>
      <c r="N7" s="338" t="s">
        <v>196</v>
      </c>
      <c r="O7" s="338"/>
      <c r="P7" s="338"/>
      <c r="Q7" s="338"/>
      <c r="R7" s="335"/>
      <c r="S7" s="335"/>
      <c r="T7" s="335"/>
      <c r="U7" s="347"/>
    </row>
    <row r="8" ht="18.75" spans="1:21">
      <c r="A8" s="335"/>
      <c r="B8" s="350"/>
      <c r="C8" s="351"/>
      <c r="D8" s="335"/>
      <c r="E8" s="335"/>
      <c r="F8" s="335"/>
      <c r="G8" s="335"/>
      <c r="H8" s="352"/>
      <c r="I8" s="400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47"/>
    </row>
    <row r="9" ht="18.75" spans="1:21">
      <c r="A9" s="335"/>
      <c r="B9" s="353"/>
      <c r="C9" s="351"/>
      <c r="D9" s="335"/>
      <c r="E9" s="335"/>
      <c r="F9" s="335"/>
      <c r="G9" s="335"/>
      <c r="H9" s="339" t="s">
        <v>197</v>
      </c>
      <c r="I9" s="396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47"/>
    </row>
    <row r="10" ht="18.75" spans="1:21">
      <c r="A10" s="335"/>
      <c r="B10" s="336" t="s">
        <v>198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47"/>
      <c r="N10" s="347"/>
      <c r="O10" s="347"/>
      <c r="P10" s="347"/>
      <c r="Q10" s="338"/>
      <c r="R10" s="347"/>
      <c r="S10" s="347"/>
      <c r="T10" s="335"/>
      <c r="U10" s="347"/>
    </row>
    <row r="11" ht="18.75" spans="1:21">
      <c r="A11" s="335"/>
      <c r="B11" s="353"/>
      <c r="C11" s="337"/>
      <c r="D11" s="338"/>
      <c r="E11" s="338"/>
      <c r="F11" s="338"/>
      <c r="G11" s="338"/>
      <c r="H11" s="352"/>
      <c r="I11" s="400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47"/>
    </row>
    <row r="12" ht="19.5" spans="1:21">
      <c r="A12" s="335"/>
      <c r="B12" s="336" t="s">
        <v>199</v>
      </c>
      <c r="C12" s="337"/>
      <c r="D12" s="338" t="s">
        <v>46</v>
      </c>
      <c r="E12" s="338"/>
      <c r="F12" s="338">
        <v>198</v>
      </c>
      <c r="G12" s="338"/>
      <c r="H12" s="352"/>
      <c r="I12" s="400"/>
      <c r="J12" s="335"/>
      <c r="K12" s="335"/>
      <c r="L12" s="335"/>
      <c r="M12" s="335"/>
      <c r="N12" s="335"/>
      <c r="O12" s="335"/>
      <c r="P12" s="335"/>
      <c r="Q12" s="335"/>
      <c r="R12" s="414"/>
      <c r="S12" s="414"/>
      <c r="T12" s="414"/>
      <c r="U12" s="347"/>
    </row>
    <row r="15" spans="1:31">
      <c r="A15" s="355"/>
      <c r="B15" s="356"/>
      <c r="C15" s="355"/>
      <c r="D15" s="355"/>
      <c r="E15" s="355"/>
      <c r="F15" s="355"/>
      <c r="G15" s="357" t="s">
        <v>200</v>
      </c>
      <c r="H15" s="358">
        <v>17697</v>
      </c>
      <c r="I15" s="355"/>
      <c r="J15" s="401"/>
      <c r="K15" s="401"/>
      <c r="L15" s="401"/>
      <c r="M15" s="401"/>
      <c r="N15" s="401"/>
      <c r="O15" s="401"/>
      <c r="P15" s="402"/>
      <c r="Q15" s="355"/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</row>
    <row r="16" ht="18" customHeight="1" spans="1:32">
      <c r="A16" s="359" t="s">
        <v>201</v>
      </c>
      <c r="B16" s="360" t="s">
        <v>202</v>
      </c>
      <c r="C16" s="359" t="s">
        <v>203</v>
      </c>
      <c r="D16" s="359" t="s">
        <v>204</v>
      </c>
      <c r="E16" s="361" t="s">
        <v>205</v>
      </c>
      <c r="F16" s="361"/>
      <c r="G16" s="362" t="s">
        <v>206</v>
      </c>
      <c r="H16" s="363" t="s">
        <v>207</v>
      </c>
      <c r="I16" s="403" t="s">
        <v>208</v>
      </c>
      <c r="J16" s="359" t="s">
        <v>209</v>
      </c>
      <c r="K16" s="403"/>
      <c r="L16" s="403" t="s">
        <v>210</v>
      </c>
      <c r="M16" s="404"/>
      <c r="N16" s="362" t="s">
        <v>211</v>
      </c>
      <c r="O16" s="403"/>
      <c r="P16" s="405" t="s">
        <v>212</v>
      </c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8"/>
      <c r="AE16" s="359" t="s">
        <v>213</v>
      </c>
      <c r="AF16" s="419"/>
    </row>
    <row r="17" s="329" customFormat="1" ht="96.75" customHeight="1" spans="1:32">
      <c r="A17" s="359"/>
      <c r="B17" s="360"/>
      <c r="C17" s="359"/>
      <c r="D17" s="359"/>
      <c r="E17" s="359" t="s">
        <v>214</v>
      </c>
      <c r="F17" s="364" t="s">
        <v>215</v>
      </c>
      <c r="G17" s="365"/>
      <c r="H17" s="366"/>
      <c r="I17" s="406"/>
      <c r="J17" s="359"/>
      <c r="K17" s="365" t="s">
        <v>216</v>
      </c>
      <c r="L17" s="407"/>
      <c r="M17" s="408"/>
      <c r="N17" s="365"/>
      <c r="O17" s="365" t="s">
        <v>217</v>
      </c>
      <c r="P17" s="359" t="s">
        <v>218</v>
      </c>
      <c r="Q17" s="359"/>
      <c r="R17" s="416" t="s">
        <v>219</v>
      </c>
      <c r="S17" s="416"/>
      <c r="T17" s="416">
        <v>0.3</v>
      </c>
      <c r="U17" s="416"/>
      <c r="V17" s="416" t="s">
        <v>220</v>
      </c>
      <c r="W17" s="416"/>
      <c r="X17" s="416" t="s">
        <v>221</v>
      </c>
      <c r="Y17" s="416"/>
      <c r="Z17" s="359" t="s">
        <v>222</v>
      </c>
      <c r="AA17" s="359"/>
      <c r="AB17" s="420" t="s">
        <v>223</v>
      </c>
      <c r="AC17" s="421"/>
      <c r="AD17" s="362" t="s">
        <v>224</v>
      </c>
      <c r="AE17" s="359"/>
      <c r="AF17" s="422"/>
    </row>
    <row r="18" s="329" customFormat="1" ht="54" customHeight="1" spans="1:32">
      <c r="A18" s="359"/>
      <c r="B18" s="360"/>
      <c r="C18" s="359"/>
      <c r="D18" s="359"/>
      <c r="E18" s="359"/>
      <c r="F18" s="364"/>
      <c r="G18" s="367"/>
      <c r="H18" s="368"/>
      <c r="I18" s="407"/>
      <c r="J18" s="359"/>
      <c r="K18" s="367"/>
      <c r="L18" s="409" t="s">
        <v>225</v>
      </c>
      <c r="M18" s="410" t="s">
        <v>226</v>
      </c>
      <c r="N18" s="367"/>
      <c r="O18" s="367"/>
      <c r="P18" s="359" t="s">
        <v>227</v>
      </c>
      <c r="Q18" s="359" t="s">
        <v>228</v>
      </c>
      <c r="R18" s="359" t="s">
        <v>227</v>
      </c>
      <c r="S18" s="359" t="s">
        <v>228</v>
      </c>
      <c r="T18" s="359" t="s">
        <v>227</v>
      </c>
      <c r="U18" s="359" t="s">
        <v>228</v>
      </c>
      <c r="V18" s="359" t="s">
        <v>83</v>
      </c>
      <c r="W18" s="359" t="s">
        <v>226</v>
      </c>
      <c r="X18" s="359" t="s">
        <v>229</v>
      </c>
      <c r="Y18" s="359" t="s">
        <v>228</v>
      </c>
      <c r="Z18" s="359" t="s">
        <v>229</v>
      </c>
      <c r="AA18" s="359" t="s">
        <v>228</v>
      </c>
      <c r="AB18" s="359" t="s">
        <v>230</v>
      </c>
      <c r="AC18" s="364" t="s">
        <v>228</v>
      </c>
      <c r="AD18" s="367"/>
      <c r="AE18" s="359"/>
      <c r="AF18" s="422"/>
    </row>
    <row r="19" ht="19.5" customHeight="1" spans="1:32">
      <c r="A19" s="361">
        <v>1</v>
      </c>
      <c r="B19" s="369">
        <v>2</v>
      </c>
      <c r="C19" s="361">
        <v>3</v>
      </c>
      <c r="D19" s="361">
        <v>4</v>
      </c>
      <c r="E19" s="361">
        <v>5</v>
      </c>
      <c r="F19" s="361">
        <v>6</v>
      </c>
      <c r="G19" s="361">
        <v>7</v>
      </c>
      <c r="H19" s="361">
        <v>8</v>
      </c>
      <c r="I19" s="361">
        <v>9</v>
      </c>
      <c r="J19" s="361">
        <v>10</v>
      </c>
      <c r="K19" s="361"/>
      <c r="L19" s="361">
        <v>11</v>
      </c>
      <c r="M19" s="361">
        <v>12</v>
      </c>
      <c r="N19" s="361">
        <v>13</v>
      </c>
      <c r="O19" s="361"/>
      <c r="P19" s="361">
        <v>14</v>
      </c>
      <c r="Q19" s="361">
        <v>15</v>
      </c>
      <c r="R19" s="361">
        <v>16</v>
      </c>
      <c r="S19" s="361">
        <v>17</v>
      </c>
      <c r="T19" s="361">
        <v>18</v>
      </c>
      <c r="U19" s="361">
        <v>19</v>
      </c>
      <c r="V19" s="361">
        <v>20</v>
      </c>
      <c r="W19" s="361">
        <v>21</v>
      </c>
      <c r="X19" s="361">
        <v>22</v>
      </c>
      <c r="Y19" s="361">
        <v>23</v>
      </c>
      <c r="Z19" s="361">
        <v>24</v>
      </c>
      <c r="AA19" s="361">
        <v>25</v>
      </c>
      <c r="AB19" s="361"/>
      <c r="AC19" s="361">
        <v>26</v>
      </c>
      <c r="AD19" s="361">
        <v>27</v>
      </c>
      <c r="AE19" s="361">
        <v>28</v>
      </c>
      <c r="AF19" s="419"/>
    </row>
    <row r="20" s="330" customFormat="1" ht="24.95" customHeight="1" spans="1:32">
      <c r="A20" s="361">
        <v>1</v>
      </c>
      <c r="B20" s="370" t="s">
        <v>102</v>
      </c>
      <c r="C20" s="371" t="s">
        <v>231</v>
      </c>
      <c r="D20" s="371" t="s">
        <v>232</v>
      </c>
      <c r="E20" s="371" t="s">
        <v>233</v>
      </c>
      <c r="F20" s="371"/>
      <c r="G20" s="372">
        <v>26</v>
      </c>
      <c r="H20" s="373">
        <v>6.22</v>
      </c>
      <c r="I20" s="373">
        <v>1</v>
      </c>
      <c r="J20" s="411">
        <f t="shared" ref="J20:J40" si="0">$H$15*H20*I20</f>
        <v>110075.34</v>
      </c>
      <c r="K20" s="411">
        <f>J20*50%</f>
        <v>55037.67</v>
      </c>
      <c r="L20" s="371">
        <v>25</v>
      </c>
      <c r="M20" s="411">
        <f t="shared" ref="M20:M32" si="1">(J20+K20)*L20/100</f>
        <v>41278.2525</v>
      </c>
      <c r="N20" s="411">
        <f t="shared" ref="N20:N30" si="2">J20+K20+M20</f>
        <v>206391.2625</v>
      </c>
      <c r="O20" s="411"/>
      <c r="P20" s="371"/>
      <c r="Q20" s="371">
        <f>SUM($H$15*0.2)*P20</f>
        <v>0</v>
      </c>
      <c r="R20" s="371"/>
      <c r="S20" s="371">
        <f t="shared" ref="S20:S30" si="3">$H$15*0.2*R20</f>
        <v>0</v>
      </c>
      <c r="T20" s="411"/>
      <c r="U20" s="371">
        <f t="shared" ref="U20:U30" si="4">$H$15*0.3*T20</f>
        <v>0</v>
      </c>
      <c r="V20" s="371"/>
      <c r="W20" s="371">
        <f t="shared" ref="W20:W30" si="5">SUM($H$15*V20/100)</f>
        <v>0</v>
      </c>
      <c r="X20" s="371"/>
      <c r="Y20" s="371">
        <f t="shared" ref="Y20:Y30" si="6">SUM($H$15*H20/168*24)/6*X20</f>
        <v>0</v>
      </c>
      <c r="Z20" s="371"/>
      <c r="AA20" s="371">
        <f t="shared" ref="AA20:AA30" si="7">SUM($H$15*H20*I20*0.5/168*8)*Z20</f>
        <v>0</v>
      </c>
      <c r="AB20" s="371"/>
      <c r="AC20" s="411">
        <f t="shared" ref="AC20:AC32" si="8">N20*10%</f>
        <v>20639.12625</v>
      </c>
      <c r="AD20" s="411"/>
      <c r="AE20" s="411">
        <f t="shared" ref="AE20:AE25" si="9">N20+AC20</f>
        <v>227030.38875</v>
      </c>
      <c r="AF20" s="423"/>
    </row>
    <row r="21" s="330" customFormat="1" ht="24.95" customHeight="1" spans="1:32">
      <c r="A21" s="361">
        <v>2</v>
      </c>
      <c r="B21" s="370" t="s">
        <v>137</v>
      </c>
      <c r="C21" s="371" t="s">
        <v>234</v>
      </c>
      <c r="D21" s="371" t="s">
        <v>232</v>
      </c>
      <c r="E21" s="371" t="s">
        <v>235</v>
      </c>
      <c r="F21" s="371"/>
      <c r="G21" s="371">
        <v>25.2</v>
      </c>
      <c r="H21" s="374">
        <v>5.91</v>
      </c>
      <c r="I21" s="371">
        <v>1</v>
      </c>
      <c r="J21" s="411">
        <f t="shared" si="0"/>
        <v>104589.27</v>
      </c>
      <c r="K21" s="411">
        <f>J21*50%</f>
        <v>52294.635</v>
      </c>
      <c r="L21" s="371">
        <v>25</v>
      </c>
      <c r="M21" s="411">
        <f t="shared" si="1"/>
        <v>39220.97625</v>
      </c>
      <c r="N21" s="411">
        <f t="shared" si="2"/>
        <v>196104.88125</v>
      </c>
      <c r="O21" s="411"/>
      <c r="P21" s="371"/>
      <c r="Q21" s="371"/>
      <c r="R21" s="371"/>
      <c r="S21" s="371">
        <f t="shared" si="3"/>
        <v>0</v>
      </c>
      <c r="T21" s="411"/>
      <c r="U21" s="371">
        <f t="shared" si="4"/>
        <v>0</v>
      </c>
      <c r="V21" s="371"/>
      <c r="W21" s="371">
        <f t="shared" si="5"/>
        <v>0</v>
      </c>
      <c r="X21" s="371"/>
      <c r="Y21" s="371">
        <f t="shared" si="6"/>
        <v>0</v>
      </c>
      <c r="Z21" s="371"/>
      <c r="AA21" s="371">
        <f t="shared" si="7"/>
        <v>0</v>
      </c>
      <c r="AB21" s="371"/>
      <c r="AC21" s="411">
        <f t="shared" si="8"/>
        <v>19610.488125</v>
      </c>
      <c r="AD21" s="411"/>
      <c r="AE21" s="411">
        <f t="shared" si="9"/>
        <v>215715.369375</v>
      </c>
      <c r="AF21" s="423"/>
    </row>
    <row r="22" s="330" customFormat="1" ht="24.95" customHeight="1" spans="1:32">
      <c r="A22" s="361">
        <v>3</v>
      </c>
      <c r="B22" s="370" t="s">
        <v>236</v>
      </c>
      <c r="C22" s="371" t="s">
        <v>234</v>
      </c>
      <c r="D22" s="371" t="s">
        <v>232</v>
      </c>
      <c r="E22" s="371" t="s">
        <v>235</v>
      </c>
      <c r="F22" s="371"/>
      <c r="G22" s="371">
        <v>29</v>
      </c>
      <c r="H22" s="374">
        <v>5.91</v>
      </c>
      <c r="I22" s="371">
        <v>0.5</v>
      </c>
      <c r="J22" s="411">
        <f t="shared" si="0"/>
        <v>52294.635</v>
      </c>
      <c r="K22" s="411">
        <f>J22*50%</f>
        <v>26147.3175</v>
      </c>
      <c r="L22" s="371">
        <v>25</v>
      </c>
      <c r="M22" s="411">
        <f t="shared" si="1"/>
        <v>19610.488125</v>
      </c>
      <c r="N22" s="411">
        <f t="shared" si="2"/>
        <v>98052.440625</v>
      </c>
      <c r="O22" s="411"/>
      <c r="P22" s="371"/>
      <c r="Q22" s="371">
        <f t="shared" ref="Q22:Q30" si="10">SUM($H$15*0.2)*P22</f>
        <v>0</v>
      </c>
      <c r="R22" s="371"/>
      <c r="S22" s="371">
        <f t="shared" si="3"/>
        <v>0</v>
      </c>
      <c r="T22" s="411"/>
      <c r="U22" s="371">
        <f t="shared" si="4"/>
        <v>0</v>
      </c>
      <c r="V22" s="371"/>
      <c r="W22" s="371">
        <f t="shared" si="5"/>
        <v>0</v>
      </c>
      <c r="X22" s="371"/>
      <c r="Y22" s="371">
        <f t="shared" si="6"/>
        <v>0</v>
      </c>
      <c r="Z22" s="371"/>
      <c r="AA22" s="371">
        <f t="shared" si="7"/>
        <v>0</v>
      </c>
      <c r="AB22" s="371"/>
      <c r="AC22" s="411">
        <f t="shared" si="8"/>
        <v>9805.2440625</v>
      </c>
      <c r="AD22" s="411"/>
      <c r="AE22" s="411">
        <f t="shared" si="9"/>
        <v>107857.6846875</v>
      </c>
      <c r="AF22" s="423"/>
    </row>
    <row r="23" s="330" customFormat="1" ht="24.95" customHeight="1" spans="1:32">
      <c r="A23" s="361">
        <v>4</v>
      </c>
      <c r="B23" s="370" t="s">
        <v>237</v>
      </c>
      <c r="C23" s="371" t="s">
        <v>238</v>
      </c>
      <c r="D23" s="371" t="s">
        <v>232</v>
      </c>
      <c r="E23" s="371" t="s">
        <v>235</v>
      </c>
      <c r="F23" s="371"/>
      <c r="G23" s="375"/>
      <c r="H23" s="374">
        <v>5.91</v>
      </c>
      <c r="I23" s="371">
        <v>0.5</v>
      </c>
      <c r="J23" s="411">
        <f t="shared" si="0"/>
        <v>52294.635</v>
      </c>
      <c r="K23" s="411">
        <f>J23*50%</f>
        <v>26147.3175</v>
      </c>
      <c r="L23" s="371">
        <v>25</v>
      </c>
      <c r="M23" s="411">
        <f t="shared" si="1"/>
        <v>19610.488125</v>
      </c>
      <c r="N23" s="411">
        <f t="shared" si="2"/>
        <v>98052.440625</v>
      </c>
      <c r="O23" s="411"/>
      <c r="P23" s="371"/>
      <c r="Q23" s="371">
        <f t="shared" si="10"/>
        <v>0</v>
      </c>
      <c r="R23" s="371"/>
      <c r="S23" s="371">
        <f t="shared" si="3"/>
        <v>0</v>
      </c>
      <c r="T23" s="411"/>
      <c r="U23" s="371">
        <f t="shared" si="4"/>
        <v>0</v>
      </c>
      <c r="V23" s="371"/>
      <c r="W23" s="371">
        <f t="shared" si="5"/>
        <v>0</v>
      </c>
      <c r="X23" s="371"/>
      <c r="Y23" s="371">
        <f t="shared" si="6"/>
        <v>0</v>
      </c>
      <c r="Z23" s="371"/>
      <c r="AA23" s="371">
        <f t="shared" si="7"/>
        <v>0</v>
      </c>
      <c r="AB23" s="371"/>
      <c r="AC23" s="411">
        <f t="shared" si="8"/>
        <v>9805.2440625</v>
      </c>
      <c r="AD23" s="411"/>
      <c r="AE23" s="411">
        <f t="shared" si="9"/>
        <v>107857.6846875</v>
      </c>
      <c r="AF23" s="423"/>
    </row>
    <row r="24" s="330" customFormat="1" ht="24.95" customHeight="1" spans="1:32">
      <c r="A24" s="361">
        <v>5</v>
      </c>
      <c r="B24" s="370" t="s">
        <v>239</v>
      </c>
      <c r="C24" s="371" t="s">
        <v>238</v>
      </c>
      <c r="D24" s="371" t="s">
        <v>232</v>
      </c>
      <c r="E24" s="371" t="s">
        <v>235</v>
      </c>
      <c r="F24" s="371"/>
      <c r="G24" s="371">
        <v>17.1</v>
      </c>
      <c r="H24" s="371">
        <v>5.59</v>
      </c>
      <c r="I24" s="371">
        <v>1</v>
      </c>
      <c r="J24" s="411">
        <f t="shared" si="0"/>
        <v>98926.23</v>
      </c>
      <c r="K24" s="411">
        <f>J24*50%</f>
        <v>49463.115</v>
      </c>
      <c r="L24" s="371">
        <v>25</v>
      </c>
      <c r="M24" s="411">
        <f t="shared" si="1"/>
        <v>37097.33625</v>
      </c>
      <c r="N24" s="411">
        <f t="shared" si="2"/>
        <v>185486.68125</v>
      </c>
      <c r="O24" s="411"/>
      <c r="P24" s="371"/>
      <c r="Q24" s="371">
        <f t="shared" si="10"/>
        <v>0</v>
      </c>
      <c r="R24" s="371"/>
      <c r="S24" s="371">
        <f t="shared" si="3"/>
        <v>0</v>
      </c>
      <c r="T24" s="411"/>
      <c r="U24" s="371">
        <f t="shared" si="4"/>
        <v>0</v>
      </c>
      <c r="V24" s="371"/>
      <c r="W24" s="371">
        <f t="shared" si="5"/>
        <v>0</v>
      </c>
      <c r="X24" s="371"/>
      <c r="Y24" s="371">
        <f t="shared" si="6"/>
        <v>0</v>
      </c>
      <c r="Z24" s="371"/>
      <c r="AA24" s="371">
        <f t="shared" si="7"/>
        <v>0</v>
      </c>
      <c r="AB24" s="371"/>
      <c r="AC24" s="411">
        <f t="shared" si="8"/>
        <v>18548.668125</v>
      </c>
      <c r="AD24" s="411"/>
      <c r="AE24" s="411">
        <f t="shared" si="9"/>
        <v>204035.349375</v>
      </c>
      <c r="AF24" s="423"/>
    </row>
    <row r="25" s="330" customFormat="1" ht="24.95" customHeight="1" spans="1:32">
      <c r="A25" s="361">
        <v>6</v>
      </c>
      <c r="B25" s="370" t="s">
        <v>240</v>
      </c>
      <c r="C25" s="374" t="s">
        <v>241</v>
      </c>
      <c r="D25" s="374" t="s">
        <v>232</v>
      </c>
      <c r="E25" s="374" t="s">
        <v>242</v>
      </c>
      <c r="F25" s="374"/>
      <c r="G25" s="376" t="s">
        <v>178</v>
      </c>
      <c r="H25" s="374">
        <v>4.34</v>
      </c>
      <c r="I25" s="371">
        <v>1</v>
      </c>
      <c r="J25" s="411">
        <f t="shared" si="0"/>
        <v>76804.98</v>
      </c>
      <c r="K25" s="411"/>
      <c r="L25" s="371"/>
      <c r="M25" s="411">
        <f t="shared" si="1"/>
        <v>0</v>
      </c>
      <c r="N25" s="411">
        <f t="shared" si="2"/>
        <v>76804.98</v>
      </c>
      <c r="O25" s="411"/>
      <c r="P25" s="371"/>
      <c r="Q25" s="371">
        <f t="shared" si="10"/>
        <v>0</v>
      </c>
      <c r="R25" s="371"/>
      <c r="S25" s="371">
        <f t="shared" si="3"/>
        <v>0</v>
      </c>
      <c r="T25" s="411"/>
      <c r="U25" s="371">
        <f t="shared" si="4"/>
        <v>0</v>
      </c>
      <c r="V25" s="371"/>
      <c r="W25" s="371">
        <f t="shared" si="5"/>
        <v>0</v>
      </c>
      <c r="X25" s="371"/>
      <c r="Y25" s="371">
        <f t="shared" si="6"/>
        <v>0</v>
      </c>
      <c r="Z25" s="371"/>
      <c r="AA25" s="371">
        <f t="shared" si="7"/>
        <v>0</v>
      </c>
      <c r="AB25" s="371"/>
      <c r="AC25" s="411">
        <f t="shared" si="8"/>
        <v>7680.498</v>
      </c>
      <c r="AD25" s="411"/>
      <c r="AE25" s="411">
        <f t="shared" si="9"/>
        <v>84485.478</v>
      </c>
      <c r="AF25" s="423"/>
    </row>
    <row r="26" s="330" customFormat="1" ht="24.95" customHeight="1" spans="1:32">
      <c r="A26" s="361">
        <v>7</v>
      </c>
      <c r="B26" s="377" t="s">
        <v>162</v>
      </c>
      <c r="C26" s="374" t="s">
        <v>243</v>
      </c>
      <c r="D26" s="371" t="s">
        <v>232</v>
      </c>
      <c r="E26" s="374" t="s">
        <v>136</v>
      </c>
      <c r="F26" s="374">
        <v>2</v>
      </c>
      <c r="G26" s="378">
        <v>21.1</v>
      </c>
      <c r="H26" s="374">
        <v>4.67</v>
      </c>
      <c r="I26" s="374">
        <v>1</v>
      </c>
      <c r="J26" s="378">
        <f t="shared" si="0"/>
        <v>82644.99</v>
      </c>
      <c r="K26" s="411">
        <f t="shared" ref="K26:K31" si="11">J26*50%</f>
        <v>41322.495</v>
      </c>
      <c r="L26" s="371">
        <v>25</v>
      </c>
      <c r="M26" s="411">
        <f t="shared" si="1"/>
        <v>30991.87125</v>
      </c>
      <c r="N26" s="411">
        <f t="shared" si="2"/>
        <v>154959.35625</v>
      </c>
      <c r="O26" s="411"/>
      <c r="P26" s="371"/>
      <c r="Q26" s="371">
        <f t="shared" si="10"/>
        <v>0</v>
      </c>
      <c r="R26" s="371"/>
      <c r="S26" s="371">
        <f t="shared" si="3"/>
        <v>0</v>
      </c>
      <c r="T26" s="411"/>
      <c r="U26" s="371">
        <f t="shared" si="4"/>
        <v>0</v>
      </c>
      <c r="V26" s="371"/>
      <c r="W26" s="371">
        <f t="shared" si="5"/>
        <v>0</v>
      </c>
      <c r="X26" s="371"/>
      <c r="Y26" s="371">
        <f t="shared" si="6"/>
        <v>0</v>
      </c>
      <c r="Z26" s="371"/>
      <c r="AA26" s="371">
        <f t="shared" si="7"/>
        <v>0</v>
      </c>
      <c r="AB26" s="374"/>
      <c r="AC26" s="411">
        <f t="shared" si="8"/>
        <v>15495.935625</v>
      </c>
      <c r="AD26" s="411"/>
      <c r="AE26" s="411">
        <f>N26+O26+AC26</f>
        <v>170455.291875</v>
      </c>
      <c r="AF26" s="423"/>
    </row>
    <row r="27" s="330" customFormat="1" ht="24.95" customHeight="1" spans="1:32">
      <c r="A27" s="361">
        <v>8</v>
      </c>
      <c r="B27" s="377" t="s">
        <v>130</v>
      </c>
      <c r="C27" s="374" t="s">
        <v>244</v>
      </c>
      <c r="D27" s="374" t="s">
        <v>232</v>
      </c>
      <c r="E27" s="374" t="s">
        <v>245</v>
      </c>
      <c r="F27" s="379"/>
      <c r="G27" s="378">
        <v>12.1</v>
      </c>
      <c r="H27" s="374">
        <v>3.94</v>
      </c>
      <c r="I27" s="374">
        <v>1</v>
      </c>
      <c r="J27" s="378">
        <f t="shared" si="0"/>
        <v>69726.18</v>
      </c>
      <c r="K27" s="411">
        <f t="shared" si="11"/>
        <v>34863.09</v>
      </c>
      <c r="L27" s="371">
        <v>25</v>
      </c>
      <c r="M27" s="411">
        <f t="shared" si="1"/>
        <v>26147.3175</v>
      </c>
      <c r="N27" s="411">
        <f t="shared" si="2"/>
        <v>130736.5875</v>
      </c>
      <c r="O27" s="411"/>
      <c r="P27" s="371"/>
      <c r="Q27" s="371">
        <f t="shared" si="10"/>
        <v>0</v>
      </c>
      <c r="R27" s="371"/>
      <c r="S27" s="371">
        <f t="shared" si="3"/>
        <v>0</v>
      </c>
      <c r="T27" s="411"/>
      <c r="U27" s="371">
        <f t="shared" si="4"/>
        <v>0</v>
      </c>
      <c r="V27" s="371"/>
      <c r="W27" s="371">
        <f t="shared" si="5"/>
        <v>0</v>
      </c>
      <c r="X27" s="371"/>
      <c r="Y27" s="371">
        <f t="shared" si="6"/>
        <v>0</v>
      </c>
      <c r="Z27" s="371"/>
      <c r="AA27" s="371">
        <f t="shared" si="7"/>
        <v>0</v>
      </c>
      <c r="AB27" s="374"/>
      <c r="AC27" s="411">
        <f t="shared" si="8"/>
        <v>13073.65875</v>
      </c>
      <c r="AD27" s="411"/>
      <c r="AE27" s="411">
        <f>N27+O27+AC27</f>
        <v>143810.24625</v>
      </c>
      <c r="AF27" s="423"/>
    </row>
    <row r="28" s="330" customFormat="1" ht="24.95" customHeight="1" spans="1:32">
      <c r="A28" s="361">
        <v>9</v>
      </c>
      <c r="B28" s="370" t="s">
        <v>167</v>
      </c>
      <c r="C28" s="371" t="s">
        <v>168</v>
      </c>
      <c r="D28" s="371" t="s">
        <v>232</v>
      </c>
      <c r="E28" s="371" t="s">
        <v>150</v>
      </c>
      <c r="F28" s="371">
        <v>2</v>
      </c>
      <c r="G28" s="371">
        <v>7</v>
      </c>
      <c r="H28" s="374">
        <v>4.66</v>
      </c>
      <c r="I28" s="371">
        <v>1</v>
      </c>
      <c r="J28" s="378">
        <f t="shared" si="0"/>
        <v>82468.02</v>
      </c>
      <c r="K28" s="411">
        <f t="shared" si="11"/>
        <v>41234.01</v>
      </c>
      <c r="L28" s="371">
        <v>25</v>
      </c>
      <c r="M28" s="411">
        <f t="shared" si="1"/>
        <v>30925.5075</v>
      </c>
      <c r="N28" s="411">
        <f t="shared" si="2"/>
        <v>154627.5375</v>
      </c>
      <c r="O28" s="411"/>
      <c r="P28" s="371"/>
      <c r="Q28" s="371">
        <f t="shared" si="10"/>
        <v>0</v>
      </c>
      <c r="R28" s="371"/>
      <c r="S28" s="371">
        <f t="shared" si="3"/>
        <v>0</v>
      </c>
      <c r="T28" s="411"/>
      <c r="U28" s="371">
        <f t="shared" si="4"/>
        <v>0</v>
      </c>
      <c r="V28" s="371"/>
      <c r="W28" s="371">
        <f t="shared" si="5"/>
        <v>0</v>
      </c>
      <c r="X28" s="371"/>
      <c r="Y28" s="371">
        <f t="shared" si="6"/>
        <v>0</v>
      </c>
      <c r="Z28" s="371"/>
      <c r="AA28" s="371">
        <f t="shared" si="7"/>
        <v>0</v>
      </c>
      <c r="AB28" s="371"/>
      <c r="AC28" s="411">
        <f t="shared" si="8"/>
        <v>15462.75375</v>
      </c>
      <c r="AD28" s="411"/>
      <c r="AE28" s="411">
        <f>N28+O28+AC28</f>
        <v>170090.29125</v>
      </c>
      <c r="AF28" s="423"/>
    </row>
    <row r="29" s="330" customFormat="1" ht="24.95" customHeight="1" spans="1:32">
      <c r="A29" s="361">
        <v>10</v>
      </c>
      <c r="B29" s="370" t="s">
        <v>125</v>
      </c>
      <c r="C29" s="371" t="s">
        <v>168</v>
      </c>
      <c r="D29" s="371" t="s">
        <v>232</v>
      </c>
      <c r="E29" s="371" t="s">
        <v>136</v>
      </c>
      <c r="F29" s="371" t="s">
        <v>246</v>
      </c>
      <c r="G29" s="371" t="s">
        <v>178</v>
      </c>
      <c r="H29" s="374">
        <v>4.1</v>
      </c>
      <c r="I29" s="371">
        <v>0.5</v>
      </c>
      <c r="J29" s="378">
        <f t="shared" si="0"/>
        <v>36278.85</v>
      </c>
      <c r="K29" s="411">
        <f t="shared" si="11"/>
        <v>18139.425</v>
      </c>
      <c r="L29" s="371">
        <v>25</v>
      </c>
      <c r="M29" s="411">
        <f t="shared" si="1"/>
        <v>13604.56875</v>
      </c>
      <c r="N29" s="411">
        <f t="shared" si="2"/>
        <v>68022.84375</v>
      </c>
      <c r="O29" s="411"/>
      <c r="P29" s="371"/>
      <c r="Q29" s="371">
        <f t="shared" si="10"/>
        <v>0</v>
      </c>
      <c r="R29" s="371"/>
      <c r="S29" s="371">
        <f t="shared" si="3"/>
        <v>0</v>
      </c>
      <c r="T29" s="411"/>
      <c r="U29" s="371">
        <f t="shared" si="4"/>
        <v>0</v>
      </c>
      <c r="V29" s="371"/>
      <c r="W29" s="371">
        <f t="shared" si="5"/>
        <v>0</v>
      </c>
      <c r="X29" s="371"/>
      <c r="Y29" s="371">
        <f t="shared" si="6"/>
        <v>0</v>
      </c>
      <c r="Z29" s="371"/>
      <c r="AA29" s="371">
        <f t="shared" si="7"/>
        <v>0</v>
      </c>
      <c r="AB29" s="371"/>
      <c r="AC29" s="411">
        <f t="shared" si="8"/>
        <v>6802.284375</v>
      </c>
      <c r="AD29" s="411"/>
      <c r="AE29" s="411">
        <f>N29+O29+AC29</f>
        <v>74825.128125</v>
      </c>
      <c r="AF29" s="423"/>
    </row>
    <row r="30" s="330" customFormat="1" ht="24.95" customHeight="1" spans="1:32">
      <c r="A30" s="361" t="s">
        <v>247</v>
      </c>
      <c r="B30" s="370" t="s">
        <v>248</v>
      </c>
      <c r="C30" s="371" t="s">
        <v>249</v>
      </c>
      <c r="D30" s="371" t="s">
        <v>232</v>
      </c>
      <c r="E30" s="371" t="s">
        <v>136</v>
      </c>
      <c r="F30" s="371"/>
      <c r="G30" s="371" t="s">
        <v>178</v>
      </c>
      <c r="H30" s="376">
        <v>4.1</v>
      </c>
      <c r="I30" s="371">
        <v>1</v>
      </c>
      <c r="J30" s="378">
        <f t="shared" si="0"/>
        <v>72557.7</v>
      </c>
      <c r="K30" s="411">
        <f t="shared" si="11"/>
        <v>36278.85</v>
      </c>
      <c r="L30" s="371">
        <v>25</v>
      </c>
      <c r="M30" s="411">
        <f t="shared" si="1"/>
        <v>27209.1375</v>
      </c>
      <c r="N30" s="411">
        <f t="shared" si="2"/>
        <v>136045.6875</v>
      </c>
      <c r="O30" s="411"/>
      <c r="P30" s="371"/>
      <c r="Q30" s="371">
        <f t="shared" si="10"/>
        <v>0</v>
      </c>
      <c r="R30" s="371"/>
      <c r="S30" s="371">
        <f t="shared" si="3"/>
        <v>0</v>
      </c>
      <c r="T30" s="411"/>
      <c r="U30" s="371">
        <f t="shared" si="4"/>
        <v>0</v>
      </c>
      <c r="V30" s="371"/>
      <c r="W30" s="371">
        <f t="shared" si="5"/>
        <v>0</v>
      </c>
      <c r="X30" s="371"/>
      <c r="Y30" s="371">
        <f t="shared" si="6"/>
        <v>0</v>
      </c>
      <c r="Z30" s="371"/>
      <c r="AA30" s="371">
        <f t="shared" si="7"/>
        <v>0</v>
      </c>
      <c r="AB30" s="371"/>
      <c r="AC30" s="411">
        <f t="shared" si="8"/>
        <v>13604.56875</v>
      </c>
      <c r="AD30" s="411"/>
      <c r="AE30" s="411">
        <f>N30+O30+AC30</f>
        <v>149650.25625</v>
      </c>
      <c r="AF30" s="423"/>
    </row>
    <row r="31" s="331" customFormat="1" ht="35.25" customHeight="1" spans="1:32">
      <c r="A31" s="361">
        <v>12</v>
      </c>
      <c r="B31" s="370" t="s">
        <v>250</v>
      </c>
      <c r="C31" s="371" t="s">
        <v>251</v>
      </c>
      <c r="D31" s="371" t="s">
        <v>252</v>
      </c>
      <c r="E31" s="371" t="s">
        <v>253</v>
      </c>
      <c r="F31" s="371"/>
      <c r="G31" s="371">
        <v>7.9</v>
      </c>
      <c r="H31" s="374">
        <v>3.5</v>
      </c>
      <c r="I31" s="371">
        <v>0.5</v>
      </c>
      <c r="J31" s="378">
        <f t="shared" si="0"/>
        <v>30969.75</v>
      </c>
      <c r="K31" s="411">
        <f t="shared" si="11"/>
        <v>15484.875</v>
      </c>
      <c r="L31" s="371">
        <v>25</v>
      </c>
      <c r="M31" s="411">
        <f t="shared" si="1"/>
        <v>11613.65625</v>
      </c>
      <c r="N31" s="411">
        <f>SUM(J31,M31)</f>
        <v>42583.40625</v>
      </c>
      <c r="O31" s="411"/>
      <c r="P31" s="371">
        <v>1</v>
      </c>
      <c r="Q31" s="371">
        <f>SUM($H$15*0.3)*P31</f>
        <v>5309.1</v>
      </c>
      <c r="R31" s="371"/>
      <c r="S31" s="371"/>
      <c r="T31" s="371"/>
      <c r="U31" s="371"/>
      <c r="V31" s="371"/>
      <c r="W31" s="371"/>
      <c r="X31" s="371"/>
      <c r="Y31" s="371"/>
      <c r="Z31" s="371"/>
      <c r="AA31" s="371"/>
      <c r="AB31" s="371"/>
      <c r="AC31" s="411">
        <f t="shared" si="8"/>
        <v>4258.340625</v>
      </c>
      <c r="AD31" s="411">
        <f>SUM(M31,Q31,S31,U31,Y31,W31,AC31,AA31)</f>
        <v>21181.096875</v>
      </c>
      <c r="AE31" s="411">
        <f>SUM(J31+AD31)</f>
        <v>52150.846875</v>
      </c>
      <c r="AF31" s="424"/>
    </row>
    <row r="32" s="330" customFormat="1" ht="18.95" customHeight="1" spans="1:32">
      <c r="A32" s="361">
        <v>13</v>
      </c>
      <c r="B32" s="380" t="s">
        <v>240</v>
      </c>
      <c r="C32" s="381" t="s">
        <v>254</v>
      </c>
      <c r="D32" s="371" t="s">
        <v>232</v>
      </c>
      <c r="E32" s="371" t="s">
        <v>255</v>
      </c>
      <c r="F32" s="371"/>
      <c r="G32" s="371">
        <v>2</v>
      </c>
      <c r="H32" s="374">
        <v>2.98</v>
      </c>
      <c r="I32" s="371">
        <v>0.5</v>
      </c>
      <c r="J32" s="411">
        <f t="shared" si="0"/>
        <v>26368.53</v>
      </c>
      <c r="K32" s="411"/>
      <c r="L32" s="379"/>
      <c r="M32" s="411">
        <f t="shared" si="1"/>
        <v>0</v>
      </c>
      <c r="N32" s="411">
        <f>SUM(J32,M32)</f>
        <v>26368.53</v>
      </c>
      <c r="O32" s="411"/>
      <c r="P32" s="371"/>
      <c r="Q32" s="371">
        <f>SUM($H$15*0.2)*P32</f>
        <v>0</v>
      </c>
      <c r="R32" s="371"/>
      <c r="S32" s="371">
        <f>$H$15*0.2*R32</f>
        <v>0</v>
      </c>
      <c r="T32" s="411"/>
      <c r="U32" s="371">
        <f>$H$15*0.3*T32</f>
        <v>0</v>
      </c>
      <c r="V32" s="371"/>
      <c r="W32" s="371">
        <f>SUM($H$15*V32/100)</f>
        <v>0</v>
      </c>
      <c r="X32" s="371"/>
      <c r="Y32" s="371">
        <f>SUM($H$15*H32/168*24)/6*X32</f>
        <v>0</v>
      </c>
      <c r="Z32" s="371"/>
      <c r="AA32" s="371">
        <f>SUM($H$15*H32*I32*0.5/168*8)*Z32</f>
        <v>0</v>
      </c>
      <c r="AB32" s="371"/>
      <c r="AC32" s="411">
        <f t="shared" si="8"/>
        <v>2636.853</v>
      </c>
      <c r="AD32" s="411">
        <f>SUM(M32,Q32,S32,U32,Y32,W32,AC32,AA32)</f>
        <v>2636.853</v>
      </c>
      <c r="AE32" s="411">
        <f>SUM(J32+AD32)</f>
        <v>29005.383</v>
      </c>
      <c r="AF32" s="423"/>
    </row>
    <row r="33" s="330" customFormat="1" ht="30" customHeight="1" spans="1:32">
      <c r="A33" s="361">
        <v>14</v>
      </c>
      <c r="B33" s="370" t="s">
        <v>256</v>
      </c>
      <c r="C33" s="381" t="s">
        <v>254</v>
      </c>
      <c r="D33" s="371" t="s">
        <v>252</v>
      </c>
      <c r="E33" s="371" t="s">
        <v>255</v>
      </c>
      <c r="F33" s="371"/>
      <c r="G33" s="371">
        <v>12</v>
      </c>
      <c r="H33" s="374">
        <v>3.16</v>
      </c>
      <c r="I33" s="371">
        <v>0.5</v>
      </c>
      <c r="J33" s="411">
        <f t="shared" si="0"/>
        <v>27961.26</v>
      </c>
      <c r="K33" s="411"/>
      <c r="L33" s="379"/>
      <c r="M33" s="411">
        <f>(J33+K33)*L33/100</f>
        <v>0</v>
      </c>
      <c r="N33" s="411">
        <f>SUM(J33,M33)</f>
        <v>27961.26</v>
      </c>
      <c r="O33" s="411"/>
      <c r="P33" s="371"/>
      <c r="Q33" s="371">
        <f>SUM($H$15*0.2)*P33</f>
        <v>0</v>
      </c>
      <c r="R33" s="371"/>
      <c r="S33" s="371">
        <f>$H$15*0.2*R33</f>
        <v>0</v>
      </c>
      <c r="T33" s="411"/>
      <c r="U33" s="371">
        <f>$H$15*0.3*T33</f>
        <v>0</v>
      </c>
      <c r="V33" s="371"/>
      <c r="W33" s="371">
        <f>SUM($H$15*V33/100)</f>
        <v>0</v>
      </c>
      <c r="X33" s="371"/>
      <c r="Y33" s="371">
        <f>SUM($H$15*H33/168*24)/6*X33</f>
        <v>0</v>
      </c>
      <c r="Z33" s="371"/>
      <c r="AA33" s="371">
        <f>SUM($H$15*H33*I33*0.5/168*8)*Z33</f>
        <v>0</v>
      </c>
      <c r="AB33" s="371"/>
      <c r="AC33" s="411">
        <f>N33*10%</f>
        <v>2796.126</v>
      </c>
      <c r="AD33" s="411">
        <f>SUM(M33,Q33,S33,U33,Y33,W33,AC33,AA33)</f>
        <v>2796.126</v>
      </c>
      <c r="AE33" s="411">
        <f>SUM(J33+AD33)</f>
        <v>30757.386</v>
      </c>
      <c r="AF33" s="423"/>
    </row>
    <row r="34" s="330" customFormat="1" ht="24.95" customHeight="1" spans="1:32">
      <c r="A34" s="361">
        <v>15</v>
      </c>
      <c r="B34" s="377" t="s">
        <v>257</v>
      </c>
      <c r="C34" s="374" t="str">
        <f>[1]Адмхоз!C42</f>
        <v>еден жуушы</v>
      </c>
      <c r="D34" s="374" t="s">
        <v>258</v>
      </c>
      <c r="E34" s="374">
        <f>[1]Адмхоз!E42</f>
        <v>2</v>
      </c>
      <c r="F34" s="374">
        <f>[1]Адмхоз!F42</f>
        <v>0</v>
      </c>
      <c r="G34" s="374"/>
      <c r="H34" s="374">
        <v>2.81</v>
      </c>
      <c r="I34" s="374">
        <v>1</v>
      </c>
      <c r="J34" s="378">
        <f t="shared" si="0"/>
        <v>49728.57</v>
      </c>
      <c r="K34" s="411"/>
      <c r="L34" s="374"/>
      <c r="M34" s="411">
        <f t="shared" ref="M34:M40" si="12">(J34+K34)*L34/100</f>
        <v>0</v>
      </c>
      <c r="N34" s="378">
        <f t="shared" ref="N34:N40" si="13">SUM(J34,M34)</f>
        <v>49728.57</v>
      </c>
      <c r="O34" s="378"/>
      <c r="P34" s="374"/>
      <c r="Q34" s="374">
        <f>SUM($H$15*0.2)*P34</f>
        <v>0</v>
      </c>
      <c r="R34" s="374">
        <v>1</v>
      </c>
      <c r="S34" s="374">
        <f>$H$15*0.2*R34</f>
        <v>3539.4</v>
      </c>
      <c r="T34" s="378">
        <v>1</v>
      </c>
      <c r="U34" s="374">
        <f>$H$15*0.3*T34</f>
        <v>5309.1</v>
      </c>
      <c r="V34" s="374"/>
      <c r="W34" s="374">
        <f>SUM($H$15*V34/100)</f>
        <v>0</v>
      </c>
      <c r="X34" s="374"/>
      <c r="Y34" s="374">
        <f>SUM($H$15*H34/168*24*0.5)/12*X34</f>
        <v>0</v>
      </c>
      <c r="Z34" s="374"/>
      <c r="AA34" s="374">
        <f>SUM($H$15*H34*I34*0.5/168*8)*Z34</f>
        <v>0</v>
      </c>
      <c r="AB34" s="374"/>
      <c r="AC34" s="411">
        <f t="shared" ref="AC34:AC40" si="14">N34*10%</f>
        <v>4972.857</v>
      </c>
      <c r="AD34" s="378">
        <f t="shared" ref="AD34:AD40" si="15">SUM(M34,Q34,S34,U34,Y34,W34,AC34,AA34)</f>
        <v>13821.357</v>
      </c>
      <c r="AE34" s="378">
        <f t="shared" ref="AE34:AE40" si="16">SUM(J34+AD34)</f>
        <v>63549.927</v>
      </c>
      <c r="AF34" s="423"/>
    </row>
    <row r="35" s="330" customFormat="1" ht="24.95" customHeight="1" spans="1:32">
      <c r="A35" s="361">
        <v>16</v>
      </c>
      <c r="B35" s="377" t="s">
        <v>259</v>
      </c>
      <c r="C35" s="374" t="str">
        <f>[1]Адмхоз!C43</f>
        <v>еден жуушы</v>
      </c>
      <c r="D35" s="374" t="s">
        <v>258</v>
      </c>
      <c r="E35" s="374">
        <f>[1]Адмхоз!E43</f>
        <v>2</v>
      </c>
      <c r="F35" s="374">
        <f>[1]Адмхоз!F43</f>
        <v>0</v>
      </c>
      <c r="G35" s="374"/>
      <c r="H35" s="374">
        <v>2.81</v>
      </c>
      <c r="I35" s="374">
        <v>1</v>
      </c>
      <c r="J35" s="378">
        <f t="shared" si="0"/>
        <v>49728.57</v>
      </c>
      <c r="K35" s="378"/>
      <c r="L35" s="374"/>
      <c r="M35" s="411">
        <f t="shared" si="12"/>
        <v>0</v>
      </c>
      <c r="N35" s="378">
        <f t="shared" si="13"/>
        <v>49728.57</v>
      </c>
      <c r="O35" s="378"/>
      <c r="P35" s="374"/>
      <c r="Q35" s="374" t="s">
        <v>260</v>
      </c>
      <c r="R35" s="374">
        <v>1</v>
      </c>
      <c r="S35" s="374">
        <f>$H$15*0.2*R35</f>
        <v>3539.4</v>
      </c>
      <c r="T35" s="378">
        <v>1</v>
      </c>
      <c r="U35" s="374">
        <f>$H$15*0.3*T35</f>
        <v>5309.1</v>
      </c>
      <c r="V35" s="374"/>
      <c r="W35" s="374">
        <f>SUM($H$15*V35/100)</f>
        <v>0</v>
      </c>
      <c r="X35" s="374"/>
      <c r="Y35" s="374">
        <f>SUM($H$15*H35/168*24*0.5)/12*X35</f>
        <v>0</v>
      </c>
      <c r="Z35" s="374"/>
      <c r="AA35" s="374">
        <f>SUM($H$15*H35*I35*0.5/168*8)*Z35</f>
        <v>0</v>
      </c>
      <c r="AB35" s="374"/>
      <c r="AC35" s="411">
        <f t="shared" si="14"/>
        <v>4972.857</v>
      </c>
      <c r="AD35" s="378">
        <f t="shared" si="15"/>
        <v>13821.357</v>
      </c>
      <c r="AE35" s="378">
        <f t="shared" si="16"/>
        <v>63549.927</v>
      </c>
      <c r="AF35" s="423"/>
    </row>
    <row r="36" s="330" customFormat="1" ht="24.95" customHeight="1" spans="1:32">
      <c r="A36" s="361">
        <v>17</v>
      </c>
      <c r="B36" s="377" t="s">
        <v>261</v>
      </c>
      <c r="C36" s="374" t="str">
        <f>[1]Адмхоз!C60</f>
        <v>күзетші</v>
      </c>
      <c r="D36" s="374" t="s">
        <v>258</v>
      </c>
      <c r="E36" s="374">
        <f>[1]Адмхоз!E60</f>
        <v>2</v>
      </c>
      <c r="F36" s="374">
        <f>[1]Адмхоз!F60</f>
        <v>0</v>
      </c>
      <c r="G36" s="374"/>
      <c r="H36" s="374">
        <v>2.81</v>
      </c>
      <c r="I36" s="374">
        <v>1</v>
      </c>
      <c r="J36" s="378">
        <f t="shared" si="0"/>
        <v>49728.57</v>
      </c>
      <c r="K36" s="378"/>
      <c r="L36" s="374"/>
      <c r="M36" s="411">
        <f t="shared" si="12"/>
        <v>0</v>
      </c>
      <c r="N36" s="378">
        <f t="shared" si="13"/>
        <v>49728.57</v>
      </c>
      <c r="O36" s="378"/>
      <c r="P36" s="374"/>
      <c r="Q36" s="374">
        <f>SUM($H$15*0.2)*P36</f>
        <v>0</v>
      </c>
      <c r="R36" s="374"/>
      <c r="S36" s="374">
        <f>$H$15*0.2*R36</f>
        <v>0</v>
      </c>
      <c r="T36" s="378"/>
      <c r="U36" s="374">
        <f>$H$15*0.3*T36</f>
        <v>0</v>
      </c>
      <c r="V36" s="374"/>
      <c r="W36" s="374">
        <f>SUM($H$15*V36/100)</f>
        <v>0</v>
      </c>
      <c r="X36" s="374">
        <v>1</v>
      </c>
      <c r="Y36" s="378">
        <f>SUM($H$15*H36/168*24*0.5)/4*X36</f>
        <v>888.010178571428</v>
      </c>
      <c r="Z36" s="374">
        <v>10</v>
      </c>
      <c r="AA36" s="378">
        <f>SUM($H$15*H36*I36*0.5/168*8)*Z36</f>
        <v>11840.1357142857</v>
      </c>
      <c r="AB36" s="374"/>
      <c r="AC36" s="411">
        <f t="shared" si="14"/>
        <v>4972.857</v>
      </c>
      <c r="AD36" s="378">
        <f t="shared" si="15"/>
        <v>17701.0028928571</v>
      </c>
      <c r="AE36" s="378">
        <f t="shared" si="16"/>
        <v>67429.5728928571</v>
      </c>
      <c r="AF36" s="423"/>
    </row>
    <row r="37" s="330" customFormat="1" ht="24.95" customHeight="1" spans="1:32">
      <c r="A37" s="361">
        <v>18</v>
      </c>
      <c r="B37" s="377" t="s">
        <v>262</v>
      </c>
      <c r="C37" s="374" t="str">
        <f>[1]Адмхоз!C61</f>
        <v>күзетші</v>
      </c>
      <c r="D37" s="374" t="s">
        <v>258</v>
      </c>
      <c r="E37" s="374">
        <f>[1]Адмхоз!E61</f>
        <v>2</v>
      </c>
      <c r="F37" s="374">
        <f>[1]Адмхоз!F61</f>
        <v>0</v>
      </c>
      <c r="G37" s="374"/>
      <c r="H37" s="374">
        <v>2.81</v>
      </c>
      <c r="I37" s="374">
        <v>1</v>
      </c>
      <c r="J37" s="378">
        <f t="shared" si="0"/>
        <v>49728.57</v>
      </c>
      <c r="K37" s="378"/>
      <c r="L37" s="374"/>
      <c r="M37" s="411">
        <f t="shared" si="12"/>
        <v>0</v>
      </c>
      <c r="N37" s="378">
        <f t="shared" si="13"/>
        <v>49728.57</v>
      </c>
      <c r="O37" s="378"/>
      <c r="P37" s="374"/>
      <c r="Q37" s="374">
        <f>SUM($H$15*0.2)*P37</f>
        <v>0</v>
      </c>
      <c r="R37" s="374"/>
      <c r="S37" s="374">
        <f>$H$15*0.2*R37</f>
        <v>0</v>
      </c>
      <c r="T37" s="378"/>
      <c r="U37" s="374">
        <f>$H$15*0.3*T37</f>
        <v>0</v>
      </c>
      <c r="V37" s="374"/>
      <c r="W37" s="374">
        <f>SUM($H$15*V37/100)</f>
        <v>0</v>
      </c>
      <c r="X37" s="374">
        <v>1</v>
      </c>
      <c r="Y37" s="374">
        <f>SUM($H$15*H37/168*24*0.5)/4*X37</f>
        <v>888.010178571428</v>
      </c>
      <c r="Z37" s="374">
        <v>10</v>
      </c>
      <c r="AA37" s="378">
        <f>SUM($H$15*H37*I37*0.5/168*8)*Z37</f>
        <v>11840.1357142857</v>
      </c>
      <c r="AB37" s="374"/>
      <c r="AC37" s="411">
        <f t="shared" si="14"/>
        <v>4972.857</v>
      </c>
      <c r="AD37" s="378">
        <f t="shared" si="15"/>
        <v>17701.0028928571</v>
      </c>
      <c r="AE37" s="378">
        <f t="shared" si="16"/>
        <v>67429.5728928571</v>
      </c>
      <c r="AF37" s="423"/>
    </row>
    <row r="38" s="330" customFormat="1" ht="24.95" customHeight="1" spans="1:32">
      <c r="A38" s="361">
        <v>19</v>
      </c>
      <c r="B38" s="377" t="s">
        <v>263</v>
      </c>
      <c r="C38" s="374" t="s">
        <v>264</v>
      </c>
      <c r="D38" s="374" t="s">
        <v>258</v>
      </c>
      <c r="E38" s="374">
        <v>2</v>
      </c>
      <c r="F38" s="374">
        <v>0</v>
      </c>
      <c r="G38" s="374"/>
      <c r="H38" s="374">
        <v>2.81</v>
      </c>
      <c r="I38" s="374">
        <v>1</v>
      </c>
      <c r="J38" s="378">
        <f t="shared" si="0"/>
        <v>49728.57</v>
      </c>
      <c r="K38" s="378"/>
      <c r="L38" s="374"/>
      <c r="M38" s="411">
        <f t="shared" si="12"/>
        <v>0</v>
      </c>
      <c r="N38" s="378">
        <f t="shared" si="13"/>
        <v>49728.57</v>
      </c>
      <c r="O38" s="378"/>
      <c r="P38" s="374"/>
      <c r="Q38" s="374">
        <v>0</v>
      </c>
      <c r="R38" s="374"/>
      <c r="S38" s="374">
        <v>0</v>
      </c>
      <c r="T38" s="378"/>
      <c r="U38" s="374">
        <v>0</v>
      </c>
      <c r="V38" s="374"/>
      <c r="W38" s="374">
        <v>0</v>
      </c>
      <c r="X38" s="374">
        <v>1</v>
      </c>
      <c r="Y38" s="374">
        <f>SUM($H$15*H38/168*24*0.5)/4*X38</f>
        <v>888.010178571428</v>
      </c>
      <c r="Z38" s="374">
        <v>10</v>
      </c>
      <c r="AA38" s="374">
        <f>SUM($H$15*H38*I38*0.5/168*8)*Z38</f>
        <v>11840.1357142857</v>
      </c>
      <c r="AB38" s="374"/>
      <c r="AC38" s="411">
        <f t="shared" si="14"/>
        <v>4972.857</v>
      </c>
      <c r="AD38" s="378">
        <f t="shared" si="15"/>
        <v>17701.0028928571</v>
      </c>
      <c r="AE38" s="378">
        <f t="shared" si="16"/>
        <v>67429.5728928571</v>
      </c>
      <c r="AF38" s="423"/>
    </row>
    <row r="39" s="330" customFormat="1" ht="24.95" customHeight="1" spans="1:32">
      <c r="A39" s="361">
        <v>20</v>
      </c>
      <c r="B39" s="377" t="s">
        <v>265</v>
      </c>
      <c r="C39" s="374" t="s">
        <v>266</v>
      </c>
      <c r="D39" s="374" t="s">
        <v>258</v>
      </c>
      <c r="E39" s="374">
        <v>2</v>
      </c>
      <c r="F39" s="374">
        <v>0</v>
      </c>
      <c r="G39" s="374"/>
      <c r="H39" s="374">
        <v>2.81</v>
      </c>
      <c r="I39" s="374">
        <v>1</v>
      </c>
      <c r="J39" s="378">
        <f t="shared" si="0"/>
        <v>49728.57</v>
      </c>
      <c r="K39" s="378"/>
      <c r="L39" s="374"/>
      <c r="M39" s="411">
        <f t="shared" si="12"/>
        <v>0</v>
      </c>
      <c r="N39" s="378">
        <f t="shared" si="13"/>
        <v>49728.57</v>
      </c>
      <c r="O39" s="378"/>
      <c r="P39" s="374"/>
      <c r="Q39" s="374"/>
      <c r="R39" s="374"/>
      <c r="S39" s="374"/>
      <c r="T39" s="378"/>
      <c r="U39" s="374"/>
      <c r="V39" s="374"/>
      <c r="W39" s="374">
        <v>0</v>
      </c>
      <c r="X39" s="374">
        <v>0</v>
      </c>
      <c r="Y39" s="374"/>
      <c r="Z39" s="374"/>
      <c r="AA39" s="374"/>
      <c r="AB39" s="374"/>
      <c r="AC39" s="411">
        <f t="shared" si="14"/>
        <v>4972.857</v>
      </c>
      <c r="AD39" s="378">
        <f t="shared" si="15"/>
        <v>4972.857</v>
      </c>
      <c r="AE39" s="378">
        <f t="shared" si="16"/>
        <v>54701.427</v>
      </c>
      <c r="AF39" s="423"/>
    </row>
    <row r="40" s="330" customFormat="1" ht="27.75" customHeight="1" spans="1:32">
      <c r="A40" s="361">
        <v>21</v>
      </c>
      <c r="B40" s="377" t="s">
        <v>267</v>
      </c>
      <c r="C40" s="374" t="s">
        <v>268</v>
      </c>
      <c r="D40" s="374" t="s">
        <v>269</v>
      </c>
      <c r="E40" s="374">
        <v>2</v>
      </c>
      <c r="F40" s="374">
        <v>0</v>
      </c>
      <c r="G40" s="374"/>
      <c r="H40" s="374">
        <v>2.81</v>
      </c>
      <c r="I40" s="374">
        <v>1</v>
      </c>
      <c r="J40" s="378">
        <f t="shared" si="0"/>
        <v>49728.57</v>
      </c>
      <c r="K40" s="378"/>
      <c r="L40" s="374"/>
      <c r="M40" s="411">
        <f t="shared" si="12"/>
        <v>0</v>
      </c>
      <c r="N40" s="378">
        <f t="shared" si="13"/>
        <v>49728.57</v>
      </c>
      <c r="O40" s="378"/>
      <c r="P40" s="374"/>
      <c r="Q40" s="374"/>
      <c r="R40" s="374"/>
      <c r="S40" s="374"/>
      <c r="T40" s="378"/>
      <c r="U40" s="374"/>
      <c r="V40" s="374"/>
      <c r="W40" s="374">
        <v>0</v>
      </c>
      <c r="X40" s="374">
        <v>0</v>
      </c>
      <c r="Y40" s="374"/>
      <c r="Z40" s="374"/>
      <c r="AA40" s="374"/>
      <c r="AB40" s="374"/>
      <c r="AC40" s="411">
        <f t="shared" si="14"/>
        <v>4972.857</v>
      </c>
      <c r="AD40" s="378">
        <f t="shared" si="15"/>
        <v>4972.857</v>
      </c>
      <c r="AE40" s="378">
        <f t="shared" si="16"/>
        <v>54701.427</v>
      </c>
      <c r="AF40" s="423"/>
    </row>
    <row r="41" ht="24.95" customHeight="1" spans="1:32">
      <c r="A41" s="382"/>
      <c r="B41" s="383" t="s">
        <v>270</v>
      </c>
      <c r="C41" s="382"/>
      <c r="D41" s="382"/>
      <c r="E41" s="382"/>
      <c r="F41" s="382"/>
      <c r="G41" s="382"/>
      <c r="H41" s="382"/>
      <c r="I41" s="412">
        <f>SUM(I20:I40)</f>
        <v>18</v>
      </c>
      <c r="J41" s="412">
        <f t="shared" ref="J41:AE41" si="17">SUM(J20:J40)</f>
        <v>1272060.36</v>
      </c>
      <c r="K41" s="412">
        <f t="shared" si="17"/>
        <v>396412.8</v>
      </c>
      <c r="L41" s="412">
        <f t="shared" si="17"/>
        <v>275</v>
      </c>
      <c r="M41" s="412">
        <f t="shared" si="17"/>
        <v>297309.6</v>
      </c>
      <c r="N41" s="412">
        <f t="shared" si="17"/>
        <v>1950297.885</v>
      </c>
      <c r="O41" s="412">
        <f t="shared" si="17"/>
        <v>0</v>
      </c>
      <c r="P41" s="412">
        <f t="shared" si="17"/>
        <v>1</v>
      </c>
      <c r="Q41" s="412">
        <f t="shared" si="17"/>
        <v>5309.1</v>
      </c>
      <c r="R41" s="412">
        <f t="shared" si="17"/>
        <v>2</v>
      </c>
      <c r="S41" s="412">
        <f t="shared" si="17"/>
        <v>7078.8</v>
      </c>
      <c r="T41" s="412">
        <f t="shared" si="17"/>
        <v>2</v>
      </c>
      <c r="U41" s="412">
        <f t="shared" si="17"/>
        <v>10618.2</v>
      </c>
      <c r="V41" s="412">
        <f t="shared" si="17"/>
        <v>0</v>
      </c>
      <c r="W41" s="412">
        <f t="shared" si="17"/>
        <v>0</v>
      </c>
      <c r="X41" s="412">
        <f t="shared" si="17"/>
        <v>3</v>
      </c>
      <c r="Y41" s="412">
        <f t="shared" si="17"/>
        <v>2664.03053571428</v>
      </c>
      <c r="Z41" s="412">
        <f t="shared" si="17"/>
        <v>30</v>
      </c>
      <c r="AA41" s="412">
        <f t="shared" si="17"/>
        <v>35520.4071428571</v>
      </c>
      <c r="AB41" s="412">
        <f t="shared" si="17"/>
        <v>0</v>
      </c>
      <c r="AC41" s="412">
        <f t="shared" si="17"/>
        <v>195029.7885</v>
      </c>
      <c r="AD41" s="412">
        <f t="shared" si="17"/>
        <v>117305.512553571</v>
      </c>
      <c r="AE41" s="412">
        <f t="shared" si="17"/>
        <v>2206518.21117857</v>
      </c>
      <c r="AF41" s="419"/>
    </row>
    <row r="42" spans="1:31">
      <c r="A42" s="355"/>
      <c r="B42" s="356"/>
      <c r="C42" s="355"/>
      <c r="D42" s="355"/>
      <c r="E42" s="355"/>
      <c r="F42" s="355"/>
      <c r="G42" s="355"/>
      <c r="H42" s="384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</row>
    <row r="43" spans="1:31">
      <c r="A43" s="385"/>
      <c r="B43" s="386"/>
      <c r="C43" s="387" t="s">
        <v>271</v>
      </c>
      <c r="D43" s="387"/>
      <c r="E43" s="387"/>
      <c r="F43" s="388"/>
      <c r="G43" s="388"/>
      <c r="H43" s="389"/>
      <c r="I43" s="387"/>
      <c r="J43" s="387"/>
      <c r="K43" s="387"/>
      <c r="L43" s="387"/>
      <c r="M43" s="387"/>
      <c r="N43" s="387"/>
      <c r="O43" s="387"/>
      <c r="P43" s="387"/>
      <c r="Q43" s="417"/>
      <c r="R43" s="387" t="s">
        <v>272</v>
      </c>
      <c r="S43" s="387"/>
      <c r="T43" s="417"/>
      <c r="U43" s="390"/>
      <c r="V43" s="390" t="s">
        <v>273</v>
      </c>
      <c r="W43" s="390"/>
      <c r="X43" s="390"/>
      <c r="Y43" s="425"/>
      <c r="Z43" s="417"/>
      <c r="AA43" s="417"/>
      <c r="AB43" s="426"/>
      <c r="AC43" s="417"/>
      <c r="AD43" s="425"/>
      <c r="AE43" s="417"/>
    </row>
    <row r="44" spans="1:31">
      <c r="A44" s="385"/>
      <c r="B44" s="386"/>
      <c r="C44" s="387"/>
      <c r="D44" s="387"/>
      <c r="E44" s="387"/>
      <c r="F44" s="387"/>
      <c r="G44" s="390"/>
      <c r="H44" s="389"/>
      <c r="I44" s="387"/>
      <c r="J44" s="387"/>
      <c r="K44" s="387"/>
      <c r="L44" s="387"/>
      <c r="M44" s="387"/>
      <c r="N44" s="387"/>
      <c r="O44" s="387"/>
      <c r="P44" s="387"/>
      <c r="Q44" s="417"/>
      <c r="R44" s="387"/>
      <c r="S44" s="387"/>
      <c r="T44" s="417"/>
      <c r="U44" s="390"/>
      <c r="V44" s="390"/>
      <c r="W44" s="390"/>
      <c r="X44" s="390"/>
      <c r="Y44" s="390"/>
      <c r="Z44" s="417"/>
      <c r="AA44" s="417"/>
      <c r="AB44" s="417"/>
      <c r="AC44" s="417"/>
      <c r="AD44" s="417"/>
      <c r="AE44" s="427"/>
    </row>
    <row r="45" spans="1:31">
      <c r="A45" s="385"/>
      <c r="B45" s="386"/>
      <c r="C45" s="390"/>
      <c r="D45" s="390"/>
      <c r="E45" s="390"/>
      <c r="F45" s="388"/>
      <c r="G45" s="388"/>
      <c r="H45" s="389"/>
      <c r="I45" s="387"/>
      <c r="J45" s="387"/>
      <c r="K45" s="387"/>
      <c r="L45" s="387"/>
      <c r="M45" s="387"/>
      <c r="N45" s="387"/>
      <c r="O45" s="387"/>
      <c r="P45" s="387"/>
      <c r="Q45" s="417"/>
      <c r="R45" s="387"/>
      <c r="S45" s="387"/>
      <c r="T45" s="417"/>
      <c r="U45" s="390"/>
      <c r="V45" s="390"/>
      <c r="W45" s="390"/>
      <c r="X45" s="390"/>
      <c r="Y45" s="390"/>
      <c r="Z45" s="417"/>
      <c r="AA45" s="417"/>
      <c r="AB45" s="417"/>
      <c r="AC45" s="417"/>
      <c r="AD45" s="417"/>
      <c r="AE45" s="417"/>
    </row>
    <row r="46" spans="1:31">
      <c r="A46" s="385"/>
      <c r="B46" s="386"/>
      <c r="C46" s="390"/>
      <c r="D46" s="390"/>
      <c r="E46" s="390"/>
      <c r="F46" s="390"/>
      <c r="G46" s="390"/>
      <c r="H46" s="391"/>
      <c r="I46" s="387"/>
      <c r="J46" s="387"/>
      <c r="K46" s="387"/>
      <c r="L46" s="387"/>
      <c r="M46" s="387"/>
      <c r="N46" s="387"/>
      <c r="O46" s="387"/>
      <c r="P46" s="387"/>
      <c r="Q46" s="417"/>
      <c r="R46" s="387"/>
      <c r="S46" s="387"/>
      <c r="T46" s="417"/>
      <c r="U46" s="390"/>
      <c r="V46" s="390"/>
      <c r="W46" s="390"/>
      <c r="X46" s="390"/>
      <c r="Y46" s="390"/>
      <c r="Z46" s="417"/>
      <c r="AA46" s="417"/>
      <c r="AB46" s="417"/>
      <c r="AC46" s="417"/>
      <c r="AD46" s="417"/>
      <c r="AE46" s="417"/>
    </row>
    <row r="47" spans="1:31">
      <c r="A47" s="385"/>
      <c r="B47" s="386"/>
      <c r="C47" s="390"/>
      <c r="D47" s="390"/>
      <c r="E47" s="390"/>
      <c r="F47" s="388"/>
      <c r="G47" s="388"/>
      <c r="H47" s="389"/>
      <c r="I47" s="387"/>
      <c r="J47" s="387"/>
      <c r="K47" s="387"/>
      <c r="L47" s="387"/>
      <c r="M47" s="387"/>
      <c r="N47" s="387"/>
      <c r="O47" s="387"/>
      <c r="P47" s="387"/>
      <c r="Q47" s="417"/>
      <c r="R47" s="387"/>
      <c r="S47" s="387"/>
      <c r="T47" s="417"/>
      <c r="U47" s="390"/>
      <c r="V47" s="390"/>
      <c r="W47" s="390"/>
      <c r="X47" s="390"/>
      <c r="Y47" s="390"/>
      <c r="Z47" s="417"/>
      <c r="AA47" s="417"/>
      <c r="AB47" s="417"/>
      <c r="AC47" s="417"/>
      <c r="AD47" s="417"/>
      <c r="AE47" s="417"/>
    </row>
    <row r="48" spans="1:31">
      <c r="A48" s="392"/>
      <c r="B48" s="393"/>
      <c r="C48" s="394"/>
      <c r="D48" s="394"/>
      <c r="E48" s="394"/>
      <c r="F48" s="394"/>
      <c r="G48" s="394"/>
      <c r="H48" s="395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394"/>
      <c r="AC48" s="394"/>
      <c r="AD48" s="394"/>
      <c r="AE48" s="394"/>
    </row>
    <row r="49" spans="1:31">
      <c r="A49" s="392"/>
      <c r="B49" s="393"/>
      <c r="C49" s="394"/>
      <c r="D49" s="394"/>
      <c r="E49" s="394"/>
      <c r="F49" s="394"/>
      <c r="G49" s="394"/>
      <c r="H49" s="395"/>
      <c r="I49" s="394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394"/>
      <c r="AC49" s="394"/>
      <c r="AD49" s="394"/>
      <c r="AE49" s="394"/>
    </row>
    <row r="50" spans="1:31">
      <c r="A50" s="392"/>
      <c r="B50" s="393"/>
      <c r="C50" s="394"/>
      <c r="D50" s="394"/>
      <c r="E50" s="394"/>
      <c r="F50" s="394"/>
      <c r="G50" s="394"/>
      <c r="H50" s="395"/>
      <c r="I50" s="394"/>
      <c r="J50" s="394"/>
      <c r="K50" s="394"/>
      <c r="L50" s="394"/>
      <c r="M50" s="394"/>
      <c r="N50" s="394"/>
      <c r="O50" s="394"/>
      <c r="P50" s="394"/>
      <c r="Q50" s="394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</row>
    <row r="51" spans="1:31">
      <c r="A51" s="392"/>
      <c r="B51" s="393"/>
      <c r="C51" s="394"/>
      <c r="D51" s="394"/>
      <c r="E51" s="394"/>
      <c r="F51" s="394"/>
      <c r="G51" s="394"/>
      <c r="H51" s="395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</row>
    <row r="52" spans="1:31">
      <c r="A52" s="392"/>
      <c r="B52" s="393"/>
      <c r="C52" s="394"/>
      <c r="D52" s="394"/>
      <c r="E52" s="394"/>
      <c r="F52" s="394"/>
      <c r="G52" s="394"/>
      <c r="H52" s="395"/>
      <c r="I52" s="394"/>
      <c r="J52" s="394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</row>
    <row r="53" spans="1:31">
      <c r="A53" s="392"/>
      <c r="B53" s="393"/>
      <c r="C53" s="394"/>
      <c r="D53" s="394"/>
      <c r="E53" s="394"/>
      <c r="F53" s="394"/>
      <c r="G53" s="394"/>
      <c r="H53" s="395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</row>
  </sheetData>
  <mergeCells count="35">
    <mergeCell ref="B3:C3"/>
    <mergeCell ref="E3:L3"/>
    <mergeCell ref="P3:Q3"/>
    <mergeCell ref="N4:T4"/>
    <mergeCell ref="R12:T12"/>
    <mergeCell ref="J15:M15"/>
    <mergeCell ref="E16:F16"/>
    <mergeCell ref="P16:AD16"/>
    <mergeCell ref="P17:Q17"/>
    <mergeCell ref="R17:S17"/>
    <mergeCell ref="T17:U17"/>
    <mergeCell ref="V17:W17"/>
    <mergeCell ref="X17:Y17"/>
    <mergeCell ref="Z17:AA17"/>
    <mergeCell ref="AB17:AC17"/>
    <mergeCell ref="F43:G43"/>
    <mergeCell ref="F45:G45"/>
    <mergeCell ref="F47:G47"/>
    <mergeCell ref="R47:S47"/>
    <mergeCell ref="A16:A18"/>
    <mergeCell ref="B16:B18"/>
    <mergeCell ref="C16:C18"/>
    <mergeCell ref="D16:D18"/>
    <mergeCell ref="E17:E18"/>
    <mergeCell ref="F17:F18"/>
    <mergeCell ref="G16:G18"/>
    <mergeCell ref="H16:H18"/>
    <mergeCell ref="I16:I18"/>
    <mergeCell ref="J16:J18"/>
    <mergeCell ref="K17:K18"/>
    <mergeCell ref="N16:N18"/>
    <mergeCell ref="AD17:AD18"/>
    <mergeCell ref="AE16:AE18"/>
    <mergeCell ref="L16:M17"/>
    <mergeCell ref="N5:X6"/>
  </mergeCells>
  <pageMargins left="0.236220472440945" right="0.236220472440945" top="0.748031496062992" bottom="0.748031496062992" header="0.31496062992126" footer="0.31496062992126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9"/>
  <sheetViews>
    <sheetView view="pageBreakPreview" zoomScale="53" zoomScaleNormal="100" topLeftCell="A29" workbookViewId="0">
      <selection activeCell="E41" sqref="E41:E42"/>
    </sheetView>
  </sheetViews>
  <sheetFormatPr defaultColWidth="9.14444444444444" defaultRowHeight="18.75"/>
  <cols>
    <col min="1" max="1" width="11.5666666666667" style="6" customWidth="1"/>
    <col min="2" max="2" width="41.5666666666667" style="6" customWidth="1"/>
    <col min="3" max="3" width="22.4222222222222" style="6" customWidth="1"/>
    <col min="4" max="4" width="15.7111111111111" style="6" customWidth="1"/>
    <col min="5" max="5" width="16.8555555555556" style="39" customWidth="1"/>
    <col min="6" max="6" width="10.1444444444444" style="39" customWidth="1"/>
    <col min="7" max="8" width="11.1444444444444" style="39" customWidth="1"/>
    <col min="9" max="9" width="23.1444444444444" style="64" customWidth="1"/>
    <col min="10" max="10" width="24.8555555555556" style="64" customWidth="1"/>
    <col min="11" max="11" width="29.4222222222222" style="64" customWidth="1"/>
    <col min="12" max="12" width="28.1444444444444" style="64" customWidth="1"/>
    <col min="13" max="13" width="13.7111111111111" style="6" customWidth="1"/>
    <col min="14" max="14" width="11" style="6" customWidth="1"/>
    <col min="15" max="15" width="9.71111111111111" style="6" customWidth="1"/>
    <col min="16" max="16" width="11.4222222222222" style="6" customWidth="1"/>
    <col min="17" max="17" width="15.1444444444444" style="6" customWidth="1"/>
    <col min="18" max="18" width="12.4222222222222" style="6" customWidth="1"/>
    <col min="19" max="19" width="14.2888888888889" style="6" customWidth="1"/>
    <col min="20" max="20" width="26.2888888888889" style="6" customWidth="1"/>
    <col min="21" max="21" width="22.5666666666667" style="6" customWidth="1"/>
    <col min="22" max="22" width="17.2888888888889" style="6" customWidth="1"/>
    <col min="23" max="24" width="20.5666666666667" style="6" customWidth="1"/>
    <col min="25" max="25" width="30.7111111111111" style="6" customWidth="1"/>
    <col min="26" max="26" width="37" style="6" customWidth="1"/>
    <col min="27" max="27" width="12.8555555555556" style="6" customWidth="1"/>
    <col min="28" max="28" width="10.4222222222222" style="6" customWidth="1"/>
    <col min="29" max="29" width="19.4222222222222" style="6" customWidth="1"/>
    <col min="30" max="30" width="13.2888888888889" style="6" customWidth="1"/>
    <col min="31" max="31" width="17.7111111111111" style="6" customWidth="1"/>
    <col min="32" max="32" width="16.7111111111111" style="6" customWidth="1"/>
    <col min="33" max="33" width="18.5666666666667" style="6" customWidth="1"/>
    <col min="34" max="34" width="22.1444444444444" style="6" customWidth="1"/>
    <col min="35" max="35" width="26.5666666666667" style="6" customWidth="1"/>
    <col min="36" max="36" width="20.4222222222222" style="6" customWidth="1"/>
    <col min="37" max="37" width="22.8555555555556" style="6" customWidth="1"/>
    <col min="38" max="38" width="15.1444444444444" style="6" customWidth="1"/>
    <col min="39" max="39" width="20.8555555555556" style="6" customWidth="1"/>
    <col min="40" max="40" width="21.1444444444444" style="6" customWidth="1"/>
    <col min="41" max="41" width="15.7111111111111" style="6" customWidth="1"/>
    <col min="42" max="42" width="15.1444444444444" style="6" customWidth="1"/>
    <col min="43" max="43" width="14.4222222222222" style="6" customWidth="1"/>
    <col min="44" max="44" width="15.7111111111111" style="6" customWidth="1"/>
    <col min="45" max="45" width="16.1444444444444" style="6" customWidth="1"/>
    <col min="46" max="46" width="15.7111111111111" style="6" customWidth="1"/>
    <col min="47" max="16384" width="9.14444444444444" style="6"/>
  </cols>
  <sheetData>
    <row r="1" s="115" customFormat="1" ht="33.75" customHeight="1" spans="1:42">
      <c r="A1" s="120"/>
      <c r="B1" s="120"/>
      <c r="C1" s="120"/>
      <c r="D1" s="120"/>
      <c r="E1" s="120"/>
      <c r="F1" s="120"/>
      <c r="G1" s="120"/>
      <c r="H1" s="120"/>
      <c r="I1" s="160"/>
      <c r="J1" s="120"/>
      <c r="K1" s="161"/>
      <c r="L1" s="161"/>
      <c r="M1" s="120"/>
      <c r="P1" s="162"/>
      <c r="R1" s="120"/>
      <c r="S1" s="196"/>
      <c r="T1" s="120"/>
      <c r="U1" s="197"/>
      <c r="V1" s="198"/>
      <c r="W1" s="199"/>
      <c r="X1" s="200"/>
      <c r="Y1" s="200"/>
      <c r="Z1" s="225"/>
      <c r="AA1" s="225"/>
      <c r="AB1" s="200"/>
      <c r="AC1" s="200"/>
      <c r="AD1" s="200"/>
      <c r="AE1" s="200"/>
      <c r="AF1" s="200"/>
      <c r="AG1" s="200"/>
      <c r="AH1" s="270"/>
      <c r="AI1" s="200"/>
      <c r="AJ1" s="200"/>
      <c r="AK1" s="200"/>
      <c r="AL1" s="120"/>
      <c r="AM1" s="120"/>
      <c r="AN1" s="120"/>
      <c r="AO1" s="200"/>
      <c r="AP1" s="120"/>
    </row>
    <row r="2" s="115" customFormat="1" ht="33" customHeight="1" spans="1:44">
      <c r="A2" s="120"/>
      <c r="B2" s="121" t="s">
        <v>0</v>
      </c>
      <c r="C2" s="121"/>
      <c r="D2" s="121"/>
      <c r="E2" s="122"/>
      <c r="F2" s="122"/>
      <c r="H2" s="121"/>
      <c r="I2" s="121"/>
      <c r="J2" s="127"/>
      <c r="K2" s="127"/>
      <c r="L2" s="127"/>
      <c r="M2" s="127"/>
      <c r="N2" s="127"/>
      <c r="O2" s="127"/>
      <c r="P2" s="127"/>
      <c r="Q2" s="201" t="s">
        <v>1</v>
      </c>
      <c r="R2" s="135"/>
      <c r="S2" s="127"/>
      <c r="T2" s="127"/>
      <c r="U2" s="202"/>
      <c r="V2" s="127"/>
      <c r="W2" s="127"/>
      <c r="X2" s="202"/>
      <c r="Y2" s="226" t="s">
        <v>2</v>
      </c>
      <c r="Z2" s="227"/>
      <c r="AA2" s="228" t="s">
        <v>3</v>
      </c>
      <c r="AB2" s="228"/>
      <c r="AC2" s="228"/>
      <c r="AD2" s="228"/>
      <c r="AE2" s="228"/>
      <c r="AF2" s="228"/>
      <c r="AG2" s="228"/>
      <c r="AH2" s="271"/>
      <c r="AI2" s="228"/>
      <c r="AJ2" s="228"/>
      <c r="AK2" s="228"/>
      <c r="AL2" s="272" t="s">
        <v>4</v>
      </c>
      <c r="AM2" s="272" t="s">
        <v>5</v>
      </c>
      <c r="AN2" s="273" t="s">
        <v>6</v>
      </c>
      <c r="AO2" s="307" t="s">
        <v>7</v>
      </c>
      <c r="AP2" s="308" t="s">
        <v>8</v>
      </c>
      <c r="AQ2" s="128"/>
      <c r="AR2" s="128"/>
    </row>
    <row r="3" s="115" customFormat="1" ht="31.5" customHeight="1" spans="1:44">
      <c r="A3" s="120"/>
      <c r="B3" s="122"/>
      <c r="C3" s="122"/>
      <c r="D3" s="122"/>
      <c r="E3" s="122"/>
      <c r="F3" s="122"/>
      <c r="G3" s="122"/>
      <c r="H3" s="122"/>
      <c r="I3" s="122"/>
      <c r="J3" s="127"/>
      <c r="K3" s="127"/>
      <c r="L3" s="127"/>
      <c r="M3" s="163"/>
      <c r="N3" s="127"/>
      <c r="O3" s="127"/>
      <c r="P3" s="127"/>
      <c r="Q3" s="127" t="s">
        <v>9</v>
      </c>
      <c r="R3" s="202"/>
      <c r="S3" s="127"/>
      <c r="T3" s="203" t="s">
        <v>10</v>
      </c>
      <c r="U3" s="203"/>
      <c r="V3" s="203"/>
      <c r="W3" s="203"/>
      <c r="X3" s="204"/>
      <c r="Y3" s="229">
        <v>1</v>
      </c>
      <c r="Z3" s="229"/>
      <c r="AA3" s="230" t="s">
        <v>11</v>
      </c>
      <c r="AB3" s="231"/>
      <c r="AC3" s="231"/>
      <c r="AD3" s="231"/>
      <c r="AE3" s="231"/>
      <c r="AF3" s="231"/>
      <c r="AG3" s="231"/>
      <c r="AH3" s="274"/>
      <c r="AI3" s="231"/>
      <c r="AJ3" s="231"/>
      <c r="AK3" s="231"/>
      <c r="AL3" s="275"/>
      <c r="AM3" s="275">
        <v>8</v>
      </c>
      <c r="AN3" s="276">
        <v>10</v>
      </c>
      <c r="AO3" s="309">
        <v>3</v>
      </c>
      <c r="AP3" s="310">
        <f>AO3+AN3+AM3</f>
        <v>21</v>
      </c>
      <c r="AQ3" s="128"/>
      <c r="AR3" s="128"/>
    </row>
    <row r="4" s="115" customFormat="1" ht="32.25" customHeight="1" spans="1:44">
      <c r="A4" s="120"/>
      <c r="B4" s="122"/>
      <c r="C4" s="122"/>
      <c r="D4" s="122"/>
      <c r="E4" s="122"/>
      <c r="F4" s="122"/>
      <c r="G4" s="123"/>
      <c r="H4" s="123"/>
      <c r="I4" s="123"/>
      <c r="J4" s="122"/>
      <c r="K4" s="127"/>
      <c r="L4" s="127"/>
      <c r="M4" s="163"/>
      <c r="N4" s="127"/>
      <c r="O4" s="127"/>
      <c r="P4" s="127"/>
      <c r="Q4" s="127" t="s">
        <v>12</v>
      </c>
      <c r="R4" s="202"/>
      <c r="S4" s="127"/>
      <c r="T4" s="127"/>
      <c r="U4" s="127"/>
      <c r="V4" s="127"/>
      <c r="W4" s="127"/>
      <c r="X4" s="202"/>
      <c r="Y4" s="229">
        <v>2</v>
      </c>
      <c r="Z4" s="229"/>
      <c r="AA4" s="232" t="s">
        <v>13</v>
      </c>
      <c r="AB4" s="233"/>
      <c r="AC4" s="233"/>
      <c r="AD4" s="233"/>
      <c r="AE4" s="233"/>
      <c r="AF4" s="233"/>
      <c r="AG4" s="233"/>
      <c r="AH4" s="241"/>
      <c r="AI4" s="233"/>
      <c r="AJ4" s="233"/>
      <c r="AK4" s="233"/>
      <c r="AL4" s="277"/>
      <c r="AM4" s="277">
        <v>8</v>
      </c>
      <c r="AN4" s="278">
        <v>10</v>
      </c>
      <c r="AO4" s="311">
        <v>3</v>
      </c>
      <c r="AP4" s="312">
        <f>SUM(AL4:AO4)</f>
        <v>21</v>
      </c>
      <c r="AQ4" s="128"/>
      <c r="AR4" s="128"/>
    </row>
    <row r="5" s="115" customFormat="1" ht="78.75" customHeight="1" spans="1:44">
      <c r="A5" s="120"/>
      <c r="B5" s="124" t="s">
        <v>15</v>
      </c>
      <c r="C5" s="124"/>
      <c r="D5" s="124"/>
      <c r="E5" s="124"/>
      <c r="F5" s="124"/>
      <c r="G5" s="125"/>
      <c r="H5" s="125"/>
      <c r="I5" s="125"/>
      <c r="J5" s="125"/>
      <c r="K5" s="125"/>
      <c r="L5" s="125"/>
      <c r="M5" s="164"/>
      <c r="N5" s="164"/>
      <c r="O5" s="164"/>
      <c r="P5" s="164"/>
      <c r="Q5" s="205" t="s">
        <v>16</v>
      </c>
      <c r="R5" s="205"/>
      <c r="S5" s="205"/>
      <c r="T5" s="205"/>
      <c r="U5" s="205"/>
      <c r="V5" s="205"/>
      <c r="W5" s="205"/>
      <c r="X5" s="206"/>
      <c r="Y5" s="229">
        <v>3</v>
      </c>
      <c r="Z5" s="229"/>
      <c r="AA5" s="232" t="s">
        <v>17</v>
      </c>
      <c r="AB5" s="233"/>
      <c r="AC5" s="233"/>
      <c r="AD5" s="233"/>
      <c r="AE5" s="233"/>
      <c r="AF5" s="233"/>
      <c r="AG5" s="233"/>
      <c r="AH5" s="241"/>
      <c r="AI5" s="233"/>
      <c r="AJ5" s="233"/>
      <c r="AK5" s="233"/>
      <c r="AL5" s="279"/>
      <c r="AM5" s="279">
        <v>102</v>
      </c>
      <c r="AN5" s="280">
        <v>89</v>
      </c>
      <c r="AO5" s="313">
        <v>7</v>
      </c>
      <c r="AP5" s="314">
        <f>AO5+AN5+AM5</f>
        <v>198</v>
      </c>
      <c r="AQ5" s="128"/>
      <c r="AR5" s="128"/>
    </row>
    <row r="6" s="115" customFormat="1" ht="48.75" customHeight="1" spans="1:44">
      <c r="A6" s="120"/>
      <c r="B6" s="122"/>
      <c r="C6" s="122"/>
      <c r="D6" s="122"/>
      <c r="E6" s="122"/>
      <c r="F6" s="122"/>
      <c r="G6" s="122"/>
      <c r="H6" s="122"/>
      <c r="I6" s="122"/>
      <c r="J6" s="127"/>
      <c r="K6" s="165"/>
      <c r="L6" s="165"/>
      <c r="M6" s="165"/>
      <c r="N6" s="165"/>
      <c r="O6" s="127"/>
      <c r="P6" s="127"/>
      <c r="Q6" s="207" t="s">
        <v>18</v>
      </c>
      <c r="R6" s="207"/>
      <c r="S6" s="207"/>
      <c r="T6" s="208" t="s">
        <v>19</v>
      </c>
      <c r="V6" s="127"/>
      <c r="W6" s="127"/>
      <c r="X6" s="209"/>
      <c r="Y6" s="234">
        <v>4</v>
      </c>
      <c r="Z6" s="234"/>
      <c r="AA6" s="235" t="s">
        <v>20</v>
      </c>
      <c r="AB6" s="236"/>
      <c r="AC6" s="236"/>
      <c r="AD6" s="236"/>
      <c r="AE6" s="236"/>
      <c r="AF6" s="236"/>
      <c r="AG6" s="236"/>
      <c r="AH6" s="281"/>
      <c r="AI6" s="236"/>
      <c r="AJ6" s="236"/>
      <c r="AK6" s="236"/>
      <c r="AL6" s="282"/>
      <c r="AM6" s="282">
        <v>206</v>
      </c>
      <c r="AN6" s="283">
        <v>339</v>
      </c>
      <c r="AO6" s="315">
        <v>111</v>
      </c>
      <c r="AP6" s="316">
        <f>AL6+AM6+AN6+AO6</f>
        <v>656</v>
      </c>
      <c r="AQ6" s="128"/>
      <c r="AR6" s="128"/>
    </row>
    <row r="7" s="115" customFormat="1" ht="59.25" customHeight="1" spans="1:44">
      <c r="A7" s="120"/>
      <c r="B7" s="126" t="s">
        <v>22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205"/>
      <c r="R7" s="205"/>
      <c r="S7" s="205"/>
      <c r="T7" s="205"/>
      <c r="U7" s="205"/>
      <c r="V7" s="205"/>
      <c r="W7" s="205"/>
      <c r="X7" s="206"/>
      <c r="Y7" s="234"/>
      <c r="Z7" s="234"/>
      <c r="AA7" s="235"/>
      <c r="AB7" s="236"/>
      <c r="AC7" s="236"/>
      <c r="AD7" s="236"/>
      <c r="AE7" s="236"/>
      <c r="AF7" s="236"/>
      <c r="AG7" s="236"/>
      <c r="AH7" s="281"/>
      <c r="AI7" s="236"/>
      <c r="AJ7" s="236"/>
      <c r="AK7" s="236"/>
      <c r="AL7" s="282"/>
      <c r="AM7" s="282"/>
      <c r="AN7" s="283"/>
      <c r="AO7" s="315"/>
      <c r="AP7" s="317"/>
      <c r="AQ7" s="128"/>
      <c r="AR7" s="128"/>
    </row>
    <row r="8" s="115" customFormat="1" ht="27" customHeight="1" spans="1:44">
      <c r="A8" s="120"/>
      <c r="B8" s="122"/>
      <c r="C8" s="122"/>
      <c r="D8" s="122"/>
      <c r="E8" s="122"/>
      <c r="F8" s="122"/>
      <c r="G8" s="123"/>
      <c r="H8" s="123"/>
      <c r="I8" s="166"/>
      <c r="J8" s="127"/>
      <c r="K8" s="127"/>
      <c r="L8" s="127"/>
      <c r="M8" s="127"/>
      <c r="N8" s="127"/>
      <c r="O8" s="127"/>
      <c r="P8" s="127"/>
      <c r="Q8" s="207"/>
      <c r="R8" s="207"/>
      <c r="S8" s="207"/>
      <c r="T8" s="127"/>
      <c r="U8" s="208"/>
      <c r="V8" s="127"/>
      <c r="W8" s="127"/>
      <c r="X8" s="209"/>
      <c r="Y8" s="237"/>
      <c r="Z8" s="237"/>
      <c r="AA8" s="238" t="s">
        <v>23</v>
      </c>
      <c r="AB8" s="238"/>
      <c r="AC8" s="238"/>
      <c r="AD8" s="238"/>
      <c r="AE8" s="238"/>
      <c r="AF8" s="238"/>
      <c r="AG8" s="238"/>
      <c r="AH8" s="284"/>
      <c r="AI8" s="238"/>
      <c r="AJ8" s="238"/>
      <c r="AK8" s="238"/>
      <c r="AL8" s="275"/>
      <c r="AM8" s="275"/>
      <c r="AN8" s="285"/>
      <c r="AO8" s="309"/>
      <c r="AP8" s="318">
        <f>AO8+AN8+AM8</f>
        <v>0</v>
      </c>
      <c r="AQ8" s="128"/>
      <c r="AR8" s="128"/>
    </row>
    <row r="9" s="115" customFormat="1" ht="27" customHeight="1" spans="1:44">
      <c r="A9" s="120"/>
      <c r="B9" s="122"/>
      <c r="C9" s="122"/>
      <c r="D9" s="122"/>
      <c r="E9" s="122"/>
      <c r="F9" s="127"/>
      <c r="G9" s="127"/>
      <c r="H9" s="127"/>
      <c r="I9" s="127"/>
      <c r="J9" s="127"/>
      <c r="K9" s="127"/>
      <c r="L9" s="127"/>
      <c r="M9" s="127"/>
      <c r="N9" s="127"/>
      <c r="O9" s="122"/>
      <c r="P9" s="167"/>
      <c r="Q9" s="210"/>
      <c r="R9" s="211"/>
      <c r="S9" s="122"/>
      <c r="T9" s="122"/>
      <c r="U9" s="127"/>
      <c r="V9" s="127"/>
      <c r="W9" s="127"/>
      <c r="X9" s="202"/>
      <c r="Y9" s="229" t="s">
        <v>24</v>
      </c>
      <c r="Z9" s="229"/>
      <c r="AA9" s="232" t="s">
        <v>25</v>
      </c>
      <c r="AB9" s="233"/>
      <c r="AC9" s="233"/>
      <c r="AD9" s="233"/>
      <c r="AE9" s="233"/>
      <c r="AF9" s="233"/>
      <c r="AG9" s="233"/>
      <c r="AH9" s="241"/>
      <c r="AI9" s="233"/>
      <c r="AJ9" s="233"/>
      <c r="AK9" s="233"/>
      <c r="AL9" s="277"/>
      <c r="AM9" s="277">
        <v>203</v>
      </c>
      <c r="AN9" s="278">
        <v>324</v>
      </c>
      <c r="AO9" s="311">
        <v>102</v>
      </c>
      <c r="AP9" s="319">
        <f>AO9+AN9+AM9</f>
        <v>629</v>
      </c>
      <c r="AQ9" s="128"/>
      <c r="AR9" s="128"/>
    </row>
    <row r="10" s="115" customFormat="1" ht="28.5" customHeight="1" spans="1:44">
      <c r="A10" s="120"/>
      <c r="B10" s="122"/>
      <c r="C10" s="122"/>
      <c r="D10" s="122"/>
      <c r="E10" s="122"/>
      <c r="F10" s="128"/>
      <c r="G10" s="128"/>
      <c r="H10" s="128"/>
      <c r="I10" s="128"/>
      <c r="J10" s="128"/>
      <c r="K10" s="128"/>
      <c r="L10" s="128"/>
      <c r="M10" s="128"/>
      <c r="N10" s="134"/>
      <c r="O10" s="130"/>
      <c r="P10" s="168"/>
      <c r="Q10" s="130"/>
      <c r="R10" s="130"/>
      <c r="S10" s="130"/>
      <c r="T10" s="134"/>
      <c r="U10" s="134"/>
      <c r="V10" s="134"/>
      <c r="W10" s="169"/>
      <c r="X10" s="169"/>
      <c r="Y10" s="239" t="s">
        <v>26</v>
      </c>
      <c r="Z10" s="239"/>
      <c r="AA10" s="240" t="s">
        <v>27</v>
      </c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86">
        <v>0</v>
      </c>
      <c r="AM10" s="286">
        <v>3</v>
      </c>
      <c r="AN10" s="286">
        <v>15</v>
      </c>
      <c r="AO10" s="286">
        <v>9</v>
      </c>
      <c r="AP10" s="319">
        <f>AO10+AN10+AM10</f>
        <v>27</v>
      </c>
      <c r="AQ10" s="128"/>
      <c r="AR10" s="128"/>
    </row>
    <row r="11" s="115" customFormat="1" ht="33.75" customHeight="1" spans="1:44">
      <c r="A11" s="120"/>
      <c r="B11" s="122"/>
      <c r="C11" s="122"/>
      <c r="D11" s="122"/>
      <c r="E11" s="122"/>
      <c r="F11" s="128"/>
      <c r="G11" s="128"/>
      <c r="H11" s="128"/>
      <c r="I11" s="128"/>
      <c r="J11" s="128"/>
      <c r="K11" s="128"/>
      <c r="L11" s="128"/>
      <c r="M11" s="128"/>
      <c r="N11" s="134"/>
      <c r="O11" s="130"/>
      <c r="P11" s="168"/>
      <c r="Q11" s="130"/>
      <c r="R11" s="130"/>
      <c r="S11" s="130"/>
      <c r="T11" s="130"/>
      <c r="U11" s="130"/>
      <c r="V11" s="130"/>
      <c r="W11" s="169"/>
      <c r="X11" s="169"/>
      <c r="Y11" s="242"/>
      <c r="Z11" s="242"/>
      <c r="AA11" s="243" t="s">
        <v>8</v>
      </c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>
        <f>SUBTOTAL(9,AM9:AM10)</f>
        <v>206</v>
      </c>
      <c r="AN11" s="287">
        <f>SUBTOTAL(9,AN9:AN10)</f>
        <v>339</v>
      </c>
      <c r="AO11" s="320">
        <f>SUBTOTAL(9,AO9:AO10)</f>
        <v>111</v>
      </c>
      <c r="AP11" s="319">
        <f>SUBTOTAL(9,AP9:AP10)</f>
        <v>656</v>
      </c>
      <c r="AQ11" s="128"/>
      <c r="AR11" s="128"/>
    </row>
    <row r="12" s="115" customFormat="1" ht="20.25" customHeight="1" spans="1:44">
      <c r="A12" s="120"/>
      <c r="B12" s="122"/>
      <c r="C12" s="122"/>
      <c r="D12" s="122"/>
      <c r="E12" s="129"/>
      <c r="F12" s="128"/>
      <c r="G12" s="128"/>
      <c r="H12" s="128"/>
      <c r="I12" s="128"/>
      <c r="J12" s="128"/>
      <c r="K12" s="128"/>
      <c r="L12" s="128"/>
      <c r="M12" s="128"/>
      <c r="N12" s="130"/>
      <c r="O12" s="130"/>
      <c r="P12" s="169"/>
      <c r="Q12" s="134"/>
      <c r="R12" s="130"/>
      <c r="S12" s="130"/>
      <c r="T12" s="130"/>
      <c r="U12" s="130"/>
      <c r="V12" s="130"/>
      <c r="W12" s="169"/>
      <c r="X12" s="169"/>
      <c r="Y12" s="239">
        <v>1</v>
      </c>
      <c r="Z12" s="239"/>
      <c r="AA12" s="240" t="s">
        <v>28</v>
      </c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88"/>
      <c r="AM12" s="288"/>
      <c r="AN12" s="289"/>
      <c r="AO12" s="291">
        <v>3</v>
      </c>
      <c r="AP12" s="321">
        <f>SUM(AM12:AO12)</f>
        <v>3</v>
      </c>
      <c r="AQ12" s="128"/>
      <c r="AR12" s="128"/>
    </row>
    <row r="13" s="115" customFormat="1" ht="24.75" customHeight="1" spans="1:44">
      <c r="A13" s="120"/>
      <c r="B13" s="122"/>
      <c r="C13" s="122"/>
      <c r="D13" s="122"/>
      <c r="E13" s="122"/>
      <c r="F13" s="128"/>
      <c r="G13" s="128"/>
      <c r="H13" s="128"/>
      <c r="I13" s="128"/>
      <c r="J13" s="128"/>
      <c r="K13" s="128"/>
      <c r="L13" s="128"/>
      <c r="M13" s="128"/>
      <c r="N13" s="134"/>
      <c r="O13" s="134"/>
      <c r="P13" s="169"/>
      <c r="Q13" s="134"/>
      <c r="R13" s="134"/>
      <c r="S13" s="134"/>
      <c r="T13" s="134"/>
      <c r="U13" s="134"/>
      <c r="V13" s="134"/>
      <c r="W13" s="169"/>
      <c r="X13" s="169"/>
      <c r="Y13" s="239">
        <v>2</v>
      </c>
      <c r="Z13" s="239"/>
      <c r="AA13" s="240" t="s">
        <v>29</v>
      </c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88"/>
      <c r="AM13" s="288"/>
      <c r="AN13" s="289"/>
      <c r="AO13" s="291"/>
      <c r="AP13" s="321">
        <f t="shared" ref="AP13:AP31" si="0">SUM(AM13:AO13)</f>
        <v>0</v>
      </c>
      <c r="AQ13" s="128"/>
      <c r="AR13" s="128"/>
    </row>
    <row r="14" s="115" customFormat="1" ht="25.5" customHeight="1" spans="1:44">
      <c r="A14" s="120"/>
      <c r="B14" s="122"/>
      <c r="C14" s="122"/>
      <c r="D14" s="122"/>
      <c r="E14" s="122"/>
      <c r="F14" s="130"/>
      <c r="G14" s="130"/>
      <c r="H14" s="130"/>
      <c r="I14" s="130"/>
      <c r="J14" s="130"/>
      <c r="K14" s="130"/>
      <c r="L14" s="130"/>
      <c r="M14" s="131"/>
      <c r="N14" s="134"/>
      <c r="O14" s="131"/>
      <c r="P14" s="135"/>
      <c r="Q14" s="131"/>
      <c r="R14" s="131"/>
      <c r="S14" s="131"/>
      <c r="T14" s="134"/>
      <c r="U14" s="134"/>
      <c r="V14" s="134"/>
      <c r="W14" s="169"/>
      <c r="X14" s="169"/>
      <c r="Y14" s="239">
        <v>3</v>
      </c>
      <c r="Z14" s="239"/>
      <c r="AA14" s="240" t="s">
        <v>30</v>
      </c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88"/>
      <c r="AM14" s="288"/>
      <c r="AN14" s="289"/>
      <c r="AO14" s="291"/>
      <c r="AP14" s="321">
        <f t="shared" si="0"/>
        <v>0</v>
      </c>
      <c r="AQ14" s="128"/>
      <c r="AR14" s="128"/>
    </row>
    <row r="15" s="115" customFormat="1" ht="27.75" customHeight="1" spans="1:44">
      <c r="A15" s="120"/>
      <c r="B15" s="122"/>
      <c r="C15" s="122"/>
      <c r="D15" s="122"/>
      <c r="E15" s="122"/>
      <c r="F15" s="131" t="s">
        <v>274</v>
      </c>
      <c r="G15" s="131"/>
      <c r="H15" s="131"/>
      <c r="I15" s="131"/>
      <c r="J15" s="131"/>
      <c r="K15" s="131"/>
      <c r="L15" s="134"/>
      <c r="M15" s="134"/>
      <c r="N15" s="130"/>
      <c r="O15" s="130"/>
      <c r="P15" s="168"/>
      <c r="Q15" s="131"/>
      <c r="R15" s="131"/>
      <c r="S15" s="131"/>
      <c r="T15" s="134"/>
      <c r="U15" s="134"/>
      <c r="V15" s="134"/>
      <c r="W15" s="169"/>
      <c r="X15" s="169"/>
      <c r="Y15" s="239">
        <v>4</v>
      </c>
      <c r="Z15" s="239"/>
      <c r="AA15" s="240" t="s">
        <v>32</v>
      </c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88"/>
      <c r="AM15" s="288"/>
      <c r="AN15" s="289"/>
      <c r="AO15" s="291"/>
      <c r="AP15" s="321">
        <f t="shared" si="0"/>
        <v>0</v>
      </c>
      <c r="AQ15" s="128"/>
      <c r="AR15" s="128"/>
    </row>
    <row r="16" s="115" customFormat="1" ht="27" customHeight="1" spans="1:44">
      <c r="A16" s="120"/>
      <c r="B16" s="122"/>
      <c r="C16" s="122"/>
      <c r="D16" s="122"/>
      <c r="E16" s="122"/>
      <c r="F16" s="132"/>
      <c r="G16" s="133" t="s">
        <v>33</v>
      </c>
      <c r="H16" s="132"/>
      <c r="I16" s="132"/>
      <c r="J16" s="132"/>
      <c r="K16" s="130"/>
      <c r="L16" s="130"/>
      <c r="M16" s="170"/>
      <c r="N16" s="171"/>
      <c r="O16" s="171"/>
      <c r="P16" s="171"/>
      <c r="Q16" s="171"/>
      <c r="R16" s="171"/>
      <c r="S16" s="171"/>
      <c r="T16" s="131"/>
      <c r="U16" s="131"/>
      <c r="V16" s="131"/>
      <c r="W16" s="169"/>
      <c r="X16" s="169"/>
      <c r="Y16" s="239">
        <v>5</v>
      </c>
      <c r="Z16" s="245"/>
      <c r="AA16" s="241" t="s">
        <v>34</v>
      </c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88"/>
      <c r="AM16" s="288"/>
      <c r="AN16" s="289"/>
      <c r="AO16" s="291"/>
      <c r="AP16" s="321">
        <f t="shared" si="0"/>
        <v>0</v>
      </c>
      <c r="AQ16" s="128"/>
      <c r="AR16" s="128"/>
    </row>
    <row r="17" s="115" customFormat="1" ht="30" customHeight="1" spans="1:44">
      <c r="A17" s="120"/>
      <c r="B17" s="122"/>
      <c r="C17" s="122"/>
      <c r="D17" s="122"/>
      <c r="E17" s="122"/>
      <c r="F17" s="130"/>
      <c r="G17" s="130"/>
      <c r="H17" s="130"/>
      <c r="I17" s="130"/>
      <c r="J17" s="130"/>
      <c r="K17" s="130"/>
      <c r="L17" s="130"/>
      <c r="M17" s="134"/>
      <c r="N17" s="134"/>
      <c r="O17" s="134"/>
      <c r="P17" s="169"/>
      <c r="Q17" s="134"/>
      <c r="R17" s="134"/>
      <c r="S17" s="134"/>
      <c r="T17" s="134"/>
      <c r="U17" s="134"/>
      <c r="V17" s="134"/>
      <c r="W17" s="169"/>
      <c r="X17" s="169"/>
      <c r="Y17" s="239">
        <v>6</v>
      </c>
      <c r="Z17" s="246"/>
      <c r="AA17" s="241" t="s">
        <v>35</v>
      </c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88"/>
      <c r="AM17" s="288"/>
      <c r="AN17" s="289"/>
      <c r="AO17" s="291"/>
      <c r="AP17" s="321">
        <f t="shared" si="0"/>
        <v>0</v>
      </c>
      <c r="AQ17" s="128"/>
      <c r="AR17" s="128"/>
    </row>
    <row r="18" s="115" customFormat="1" ht="18" customHeight="1" spans="1:44">
      <c r="A18" s="120"/>
      <c r="B18" s="122"/>
      <c r="C18" s="122"/>
      <c r="D18" s="122"/>
      <c r="E18" s="122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69"/>
      <c r="Q18" s="134"/>
      <c r="R18" s="134"/>
      <c r="S18" s="134"/>
      <c r="T18" s="134"/>
      <c r="U18" s="134"/>
      <c r="V18" s="134"/>
      <c r="W18" s="169"/>
      <c r="X18" s="169"/>
      <c r="Y18" s="239">
        <v>7</v>
      </c>
      <c r="Z18" s="246"/>
      <c r="AA18" s="241" t="s">
        <v>36</v>
      </c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88"/>
      <c r="AM18" s="288"/>
      <c r="AN18" s="289"/>
      <c r="AO18" s="291"/>
      <c r="AP18" s="321">
        <f t="shared" si="0"/>
        <v>0</v>
      </c>
      <c r="AQ18" s="128"/>
      <c r="AR18" s="128"/>
    </row>
    <row r="19" s="115" customFormat="1" ht="25.5" customHeight="1" spans="1:44">
      <c r="A19" s="120"/>
      <c r="B19" s="122"/>
      <c r="C19" s="122"/>
      <c r="D19" s="122"/>
      <c r="E19" s="122"/>
      <c r="F19" s="131"/>
      <c r="G19" s="135" t="s">
        <v>37</v>
      </c>
      <c r="H19" s="134"/>
      <c r="I19" s="134"/>
      <c r="J19" s="172"/>
      <c r="K19" s="131"/>
      <c r="L19" s="130"/>
      <c r="M19" s="134"/>
      <c r="N19" s="134"/>
      <c r="O19" s="134"/>
      <c r="P19" s="169"/>
      <c r="Q19" s="134"/>
      <c r="R19" s="134"/>
      <c r="S19" s="134"/>
      <c r="T19" s="134"/>
      <c r="U19" s="134"/>
      <c r="V19" s="134"/>
      <c r="W19" s="169"/>
      <c r="X19" s="169"/>
      <c r="Y19" s="239">
        <v>8</v>
      </c>
      <c r="Z19" s="246"/>
      <c r="AA19" s="241" t="s">
        <v>38</v>
      </c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88"/>
      <c r="AM19" s="288"/>
      <c r="AN19" s="289"/>
      <c r="AO19" s="291"/>
      <c r="AP19" s="321">
        <f t="shared" si="0"/>
        <v>0</v>
      </c>
      <c r="AQ19" s="128"/>
      <c r="AR19" s="128"/>
    </row>
    <row r="20" s="115" customFormat="1" ht="25.5" customHeight="1" spans="1:44">
      <c r="A20" s="120"/>
      <c r="B20" s="122"/>
      <c r="C20" s="122"/>
      <c r="D20" s="122"/>
      <c r="E20" s="122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69"/>
      <c r="Q20" s="134"/>
      <c r="R20" s="134"/>
      <c r="S20" s="134"/>
      <c r="T20" s="134"/>
      <c r="U20" s="134"/>
      <c r="V20" s="134"/>
      <c r="W20" s="169"/>
      <c r="X20" s="169"/>
      <c r="Y20" s="239">
        <v>9</v>
      </c>
      <c r="Z20" s="246"/>
      <c r="AA20" s="241" t="s">
        <v>39</v>
      </c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88"/>
      <c r="AM20" s="288"/>
      <c r="AN20" s="290"/>
      <c r="AO20" s="291"/>
      <c r="AP20" s="321">
        <f t="shared" si="0"/>
        <v>0</v>
      </c>
      <c r="AQ20" s="128"/>
      <c r="AR20" s="128"/>
    </row>
    <row r="21" s="115" customFormat="1" ht="28.5" customHeight="1" spans="1:44">
      <c r="A21" s="120"/>
      <c r="B21" s="122"/>
      <c r="C21" s="122"/>
      <c r="D21" s="122"/>
      <c r="E21" s="122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69"/>
      <c r="Q21" s="134"/>
      <c r="R21" s="134"/>
      <c r="S21" s="134"/>
      <c r="T21" s="134"/>
      <c r="U21" s="134"/>
      <c r="V21" s="134"/>
      <c r="W21" s="169"/>
      <c r="X21" s="169"/>
      <c r="Y21" s="239">
        <v>10</v>
      </c>
      <c r="Z21" s="246"/>
      <c r="AA21" s="241" t="s">
        <v>40</v>
      </c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88"/>
      <c r="AM21" s="288"/>
      <c r="AN21" s="289"/>
      <c r="AO21" s="291"/>
      <c r="AP21" s="321">
        <f t="shared" si="0"/>
        <v>0</v>
      </c>
      <c r="AQ21" s="128"/>
      <c r="AR21" s="128"/>
    </row>
    <row r="22" s="115" customFormat="1" ht="22.5" customHeight="1" spans="1:44">
      <c r="A22" s="120"/>
      <c r="B22" s="122"/>
      <c r="C22" s="122"/>
      <c r="D22" s="122"/>
      <c r="E22" s="122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69"/>
      <c r="Q22" s="134"/>
      <c r="R22" s="134"/>
      <c r="S22" s="134"/>
      <c r="T22" s="134"/>
      <c r="U22" s="134"/>
      <c r="V22" s="134"/>
      <c r="W22" s="169"/>
      <c r="X22" s="169"/>
      <c r="Y22" s="239">
        <v>11</v>
      </c>
      <c r="Z22" s="246"/>
      <c r="AA22" s="241" t="s">
        <v>41</v>
      </c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88"/>
      <c r="AM22" s="288"/>
      <c r="AN22" s="289"/>
      <c r="AO22" s="291"/>
      <c r="AP22" s="321">
        <f t="shared" si="0"/>
        <v>0</v>
      </c>
      <c r="AQ22" s="128"/>
      <c r="AR22" s="128"/>
    </row>
    <row r="23" s="115" customFormat="1" ht="28.5" customHeight="1" spans="1:44">
      <c r="A23" s="120"/>
      <c r="B23" s="122"/>
      <c r="C23" s="122"/>
      <c r="D23" s="122"/>
      <c r="E23" s="122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69"/>
      <c r="Q23" s="134"/>
      <c r="R23" s="134"/>
      <c r="S23" s="134"/>
      <c r="T23" s="134"/>
      <c r="U23" s="134"/>
      <c r="V23" s="134"/>
      <c r="W23" s="169"/>
      <c r="X23" s="169"/>
      <c r="Y23" s="239">
        <v>12</v>
      </c>
      <c r="Z23" s="246"/>
      <c r="AA23" s="241" t="s">
        <v>42</v>
      </c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88"/>
      <c r="AM23" s="288"/>
      <c r="AN23" s="289"/>
      <c r="AO23" s="291"/>
      <c r="AP23" s="321">
        <f t="shared" si="0"/>
        <v>0</v>
      </c>
      <c r="AQ23" s="128"/>
      <c r="AR23" s="128"/>
    </row>
    <row r="24" s="115" customFormat="1" ht="24.75" customHeight="1" spans="1:44">
      <c r="A24" s="120"/>
      <c r="B24" s="122"/>
      <c r="C24" s="123"/>
      <c r="D24" s="123"/>
      <c r="E24" s="123"/>
      <c r="F24" s="131"/>
      <c r="G24" s="134"/>
      <c r="H24" s="134"/>
      <c r="I24" s="134"/>
      <c r="J24" s="134"/>
      <c r="K24" s="134"/>
      <c r="L24" s="134"/>
      <c r="M24" s="134"/>
      <c r="N24" s="134"/>
      <c r="O24" s="134"/>
      <c r="P24" s="169"/>
      <c r="Q24" s="134"/>
      <c r="R24" s="134"/>
      <c r="S24" s="134"/>
      <c r="T24" s="134"/>
      <c r="U24" s="134"/>
      <c r="V24" s="134"/>
      <c r="W24" s="169"/>
      <c r="X24" s="169"/>
      <c r="Y24" s="239">
        <v>13</v>
      </c>
      <c r="Z24" s="246"/>
      <c r="AA24" s="241" t="s">
        <v>44</v>
      </c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88"/>
      <c r="AM24" s="288"/>
      <c r="AN24" s="289"/>
      <c r="AO24" s="291"/>
      <c r="AP24" s="321">
        <f t="shared" si="0"/>
        <v>0</v>
      </c>
      <c r="AQ24" s="128"/>
      <c r="AR24" s="128"/>
    </row>
    <row r="25" s="115" customFormat="1" ht="23.25" customHeight="1" spans="1:44">
      <c r="A25" s="120"/>
      <c r="B25" s="122"/>
      <c r="C25" s="123"/>
      <c r="D25" s="123"/>
      <c r="E25" s="12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69"/>
      <c r="Q25" s="134"/>
      <c r="R25" s="134"/>
      <c r="S25" s="134"/>
      <c r="T25" s="134"/>
      <c r="U25" s="134"/>
      <c r="V25" s="134"/>
      <c r="W25" s="169"/>
      <c r="X25" s="169"/>
      <c r="Y25" s="239">
        <v>14</v>
      </c>
      <c r="Z25" s="246"/>
      <c r="AA25" s="241" t="s">
        <v>45</v>
      </c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88"/>
      <c r="AM25" s="288"/>
      <c r="AN25" s="289"/>
      <c r="AO25" s="291"/>
      <c r="AP25" s="321">
        <f t="shared" si="0"/>
        <v>0</v>
      </c>
      <c r="AQ25" s="128"/>
      <c r="AR25" s="128"/>
    </row>
    <row r="26" s="115" customFormat="1" ht="25.5" customHeight="1" spans="1:44">
      <c r="A26" s="120"/>
      <c r="B26" s="122"/>
      <c r="C26" s="123"/>
      <c r="D26" s="123"/>
      <c r="E26" s="12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69"/>
      <c r="Q26" s="134"/>
      <c r="R26" s="134"/>
      <c r="S26" s="134"/>
      <c r="T26" s="134"/>
      <c r="U26" s="134"/>
      <c r="V26" s="134"/>
      <c r="W26" s="169"/>
      <c r="X26" s="169"/>
      <c r="Y26" s="239">
        <v>15</v>
      </c>
      <c r="Z26" s="247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88"/>
      <c r="AM26" s="288"/>
      <c r="AN26" s="291"/>
      <c r="AO26" s="291"/>
      <c r="AP26" s="321">
        <f t="shared" si="0"/>
        <v>0</v>
      </c>
      <c r="AQ26" s="128"/>
      <c r="AR26" s="128"/>
    </row>
    <row r="27" s="116" customFormat="1" ht="22.5" customHeight="1" spans="2:44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239">
        <v>16</v>
      </c>
      <c r="Z27" s="248"/>
      <c r="AA27" s="249" t="s">
        <v>47</v>
      </c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92"/>
      <c r="AM27" s="292"/>
      <c r="AN27" s="293"/>
      <c r="AO27" s="292"/>
      <c r="AP27" s="321">
        <f t="shared" si="0"/>
        <v>0</v>
      </c>
      <c r="AQ27" s="128"/>
      <c r="AR27" s="128"/>
    </row>
    <row r="28" s="115" customFormat="1" ht="33.75" customHeight="1" spans="1:44">
      <c r="A28" s="120"/>
      <c r="B28" s="122"/>
      <c r="C28" s="122"/>
      <c r="D28" s="122"/>
      <c r="E28" s="122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69"/>
      <c r="Q28" s="134"/>
      <c r="R28" s="134"/>
      <c r="S28" s="134"/>
      <c r="T28" s="134"/>
      <c r="U28" s="134"/>
      <c r="V28" s="134"/>
      <c r="W28" s="169"/>
      <c r="X28" s="169"/>
      <c r="Y28" s="239">
        <v>17</v>
      </c>
      <c r="Z28" s="246"/>
      <c r="AA28" s="241" t="s">
        <v>48</v>
      </c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88"/>
      <c r="AM28" s="288"/>
      <c r="AN28" s="289"/>
      <c r="AO28" s="291"/>
      <c r="AP28" s="321">
        <f t="shared" si="0"/>
        <v>0</v>
      </c>
      <c r="AQ28" s="128"/>
      <c r="AR28" s="128"/>
    </row>
    <row r="29" s="115" customFormat="1" ht="31.5" customHeight="1" spans="1:44">
      <c r="A29" s="120"/>
      <c r="B29" s="122"/>
      <c r="C29" s="122"/>
      <c r="D29" s="122"/>
      <c r="E29" s="122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69"/>
      <c r="Q29" s="134"/>
      <c r="R29" s="134"/>
      <c r="S29" s="134"/>
      <c r="T29" s="134"/>
      <c r="U29" s="134"/>
      <c r="V29" s="134"/>
      <c r="W29" s="169"/>
      <c r="X29" s="169"/>
      <c r="Y29" s="239">
        <v>18</v>
      </c>
      <c r="Z29" s="246"/>
      <c r="AA29" s="241" t="s">
        <v>49</v>
      </c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88"/>
      <c r="AM29" s="288"/>
      <c r="AN29" s="289"/>
      <c r="AO29" s="291"/>
      <c r="AP29" s="321">
        <f t="shared" si="0"/>
        <v>0</v>
      </c>
      <c r="AQ29" s="128"/>
      <c r="AR29" s="128"/>
    </row>
    <row r="30" s="115" customFormat="1" ht="29.25" customHeight="1" spans="1:44">
      <c r="A30" s="120"/>
      <c r="B30" s="122"/>
      <c r="C30" s="122"/>
      <c r="D30" s="122"/>
      <c r="E30" s="122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69"/>
      <c r="Q30" s="134"/>
      <c r="R30" s="134"/>
      <c r="S30" s="130"/>
      <c r="T30" s="134"/>
      <c r="U30" s="134"/>
      <c r="V30" s="134"/>
      <c r="W30" s="169"/>
      <c r="X30" s="169"/>
      <c r="Y30" s="239">
        <v>19</v>
      </c>
      <c r="Z30" s="246"/>
      <c r="AA30" s="241" t="s">
        <v>50</v>
      </c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88"/>
      <c r="AM30" s="288"/>
      <c r="AN30" s="289"/>
      <c r="AO30" s="291"/>
      <c r="AP30" s="321">
        <f t="shared" si="0"/>
        <v>0</v>
      </c>
      <c r="AQ30" s="128"/>
      <c r="AR30" s="128"/>
    </row>
    <row r="31" s="115" customFormat="1" ht="38.25" customHeight="1" spans="1:44">
      <c r="A31" s="120"/>
      <c r="B31" s="122"/>
      <c r="C31" s="122"/>
      <c r="D31" s="122"/>
      <c r="E31" s="122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69"/>
      <c r="Q31" s="134"/>
      <c r="R31" s="134"/>
      <c r="S31" s="134"/>
      <c r="T31" s="134"/>
      <c r="U31" s="134"/>
      <c r="V31" s="134"/>
      <c r="W31" s="169"/>
      <c r="X31" s="169"/>
      <c r="Y31" s="239">
        <v>20</v>
      </c>
      <c r="Z31" s="250"/>
      <c r="AA31" s="251" t="s">
        <v>51</v>
      </c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94"/>
      <c r="AM31" s="294"/>
      <c r="AN31" s="295"/>
      <c r="AO31" s="322"/>
      <c r="AP31" s="321">
        <f t="shared" si="0"/>
        <v>0</v>
      </c>
      <c r="AQ31" s="128"/>
      <c r="AR31" s="128"/>
    </row>
    <row r="32" s="115" customFormat="1" ht="36" customHeight="1" spans="1:44">
      <c r="A32" s="120"/>
      <c r="B32" s="122"/>
      <c r="C32" s="122"/>
      <c r="D32" s="122"/>
      <c r="E32" s="122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69"/>
      <c r="Q32" s="134"/>
      <c r="R32" s="134"/>
      <c r="S32" s="134"/>
      <c r="T32" s="130"/>
      <c r="U32" s="134"/>
      <c r="V32" s="134"/>
      <c r="W32" s="169"/>
      <c r="X32" s="169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96"/>
      <c r="AM32" s="296">
        <f>SUM(AM12:AM31)</f>
        <v>0</v>
      </c>
      <c r="AN32" s="297">
        <f>SUM(AN12:AN31)</f>
        <v>0</v>
      </c>
      <c r="AO32" s="297">
        <f>SUM(AO12:AO31)</f>
        <v>3</v>
      </c>
      <c r="AP32" s="323">
        <f>SUM(AP12:AP31)</f>
        <v>3</v>
      </c>
      <c r="AQ32" s="128"/>
      <c r="AR32" s="128"/>
    </row>
    <row r="33" s="1" customFormat="1" ht="24.75" customHeight="1" spans="1:44">
      <c r="A33" s="7"/>
      <c r="B33" s="8"/>
      <c r="C33" s="8"/>
      <c r="D33" s="8"/>
      <c r="E33" s="9"/>
      <c r="F33" s="9"/>
      <c r="G33" s="9"/>
      <c r="H33" s="9"/>
      <c r="I33" s="40"/>
      <c r="J33" s="40"/>
      <c r="K33" s="40"/>
      <c r="L33" s="40"/>
      <c r="M33" s="8"/>
      <c r="N33" s="173" t="s">
        <v>275</v>
      </c>
      <c r="O33" s="173"/>
      <c r="P33" s="173"/>
      <c r="Q33" s="173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78"/>
      <c r="AG33" s="10"/>
      <c r="AH33" s="10"/>
      <c r="AI33" s="10"/>
      <c r="AJ33" s="10"/>
      <c r="AK33" s="10"/>
      <c r="AL33" s="99"/>
      <c r="AM33" s="99"/>
      <c r="AN33" s="99"/>
      <c r="AO33" s="99"/>
      <c r="AP33" s="99"/>
      <c r="AQ33" s="99"/>
      <c r="AR33" s="99"/>
    </row>
    <row r="34" s="1" customFormat="1" ht="28.5" customHeight="1" spans="1:44">
      <c r="A34" s="7"/>
      <c r="B34" s="8"/>
      <c r="C34" s="8"/>
      <c r="D34" s="8"/>
      <c r="E34" s="9"/>
      <c r="F34" s="9"/>
      <c r="G34" s="9"/>
      <c r="H34" s="9"/>
      <c r="I34" s="40"/>
      <c r="J34" s="40"/>
      <c r="K34" s="40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78"/>
      <c r="AG34" s="10"/>
      <c r="AH34" s="10"/>
      <c r="AI34" s="10"/>
      <c r="AJ34" s="10"/>
      <c r="AK34" s="10"/>
      <c r="AL34" s="99"/>
      <c r="AM34" s="99"/>
      <c r="AN34" s="99"/>
      <c r="AO34" s="99"/>
      <c r="AP34" s="99"/>
      <c r="AQ34" s="99"/>
      <c r="AR34" s="99"/>
    </row>
    <row r="35" s="1" customFormat="1" ht="22.5" customHeight="1" spans="1:44">
      <c r="A35" s="7"/>
      <c r="B35" s="10"/>
      <c r="C35" s="10"/>
      <c r="D35" s="10"/>
      <c r="E35" s="11"/>
      <c r="F35" s="11"/>
      <c r="G35" s="11"/>
      <c r="H35" s="11"/>
      <c r="I35" s="42">
        <v>17697</v>
      </c>
      <c r="J35" s="42"/>
      <c r="K35" s="42"/>
      <c r="L35" s="4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99"/>
      <c r="AM35" s="99"/>
      <c r="AN35" s="100">
        <v>2917</v>
      </c>
      <c r="AO35" s="100"/>
      <c r="AP35" s="99"/>
      <c r="AQ35" s="99"/>
      <c r="AR35" s="99"/>
    </row>
    <row r="36" s="1" customFormat="1" ht="1.5" hidden="1" customHeight="1" spans="1:44">
      <c r="A36" s="7"/>
      <c r="B36" s="10"/>
      <c r="C36" s="10"/>
      <c r="D36" s="10"/>
      <c r="E36" s="11"/>
      <c r="F36" s="11"/>
      <c r="G36" s="11"/>
      <c r="H36" s="11"/>
      <c r="I36" s="42"/>
      <c r="J36" s="42"/>
      <c r="K36" s="42"/>
      <c r="L36" s="4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99"/>
      <c r="AM36" s="99"/>
      <c r="AN36" s="99"/>
      <c r="AO36" s="99"/>
      <c r="AP36" s="99"/>
      <c r="AQ36" s="99"/>
      <c r="AR36" s="99"/>
    </row>
    <row r="37" s="1" customFormat="1" ht="34.5" hidden="1" customHeight="1" spans="1:44">
      <c r="A37" s="7"/>
      <c r="B37" s="10"/>
      <c r="C37" s="10"/>
      <c r="D37" s="10"/>
      <c r="E37" s="11"/>
      <c r="F37" s="11"/>
      <c r="G37" s="11"/>
      <c r="H37" s="11"/>
      <c r="I37" s="42"/>
      <c r="J37" s="42"/>
      <c r="K37" s="42"/>
      <c r="L37" s="4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99"/>
      <c r="AM37" s="99"/>
      <c r="AN37" s="99"/>
      <c r="AO37" s="99"/>
      <c r="AP37" s="99"/>
      <c r="AQ37" s="99"/>
      <c r="AR37" s="99"/>
    </row>
    <row r="38" s="1" customFormat="1" ht="34.5" hidden="1" customHeight="1" spans="1:44">
      <c r="A38" s="7"/>
      <c r="B38" s="10"/>
      <c r="C38" s="10"/>
      <c r="D38" s="10"/>
      <c r="E38" s="11"/>
      <c r="F38" s="11"/>
      <c r="G38" s="11"/>
      <c r="H38" s="11"/>
      <c r="I38" s="42"/>
      <c r="J38" s="42"/>
      <c r="K38" s="42"/>
      <c r="L38" s="4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99"/>
      <c r="AM38" s="99"/>
      <c r="AN38" s="99"/>
      <c r="AO38" s="99"/>
      <c r="AP38" s="99"/>
      <c r="AQ38" s="99"/>
      <c r="AR38" s="99"/>
    </row>
    <row r="39" s="1" customFormat="1" ht="32.25" hidden="1" customHeight="1" spans="1:44">
      <c r="A39" s="7"/>
      <c r="B39" s="10"/>
      <c r="C39" s="10"/>
      <c r="D39" s="10"/>
      <c r="E39" s="11"/>
      <c r="F39" s="11"/>
      <c r="G39" s="11"/>
      <c r="H39" s="11"/>
      <c r="I39" s="42"/>
      <c r="J39" s="42"/>
      <c r="K39" s="42"/>
      <c r="L39" s="4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99"/>
      <c r="AM39" s="99"/>
      <c r="AN39" s="99"/>
      <c r="AO39" s="99"/>
      <c r="AP39" s="99"/>
      <c r="AQ39" s="99"/>
      <c r="AR39" s="99"/>
    </row>
    <row r="40" s="1" customFormat="1" ht="34.5" hidden="1" customHeight="1" spans="1:44">
      <c r="A40" s="7"/>
      <c r="B40" s="10"/>
      <c r="C40" s="10"/>
      <c r="D40" s="10"/>
      <c r="E40" s="11"/>
      <c r="F40" s="11"/>
      <c r="G40" s="11"/>
      <c r="H40" s="11"/>
      <c r="I40" s="42"/>
      <c r="J40" s="42"/>
      <c r="K40" s="42"/>
      <c r="L40" s="4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99"/>
      <c r="AM40" s="99"/>
      <c r="AN40" s="99"/>
      <c r="AO40" s="99"/>
      <c r="AP40" s="99"/>
      <c r="AQ40" s="99"/>
      <c r="AR40" s="99"/>
    </row>
    <row r="41" s="1" customFormat="1" ht="42.75" customHeight="1" spans="1:46">
      <c r="A41" s="136" t="s">
        <v>53</v>
      </c>
      <c r="B41" s="136" t="s">
        <v>54</v>
      </c>
      <c r="C41" s="136" t="s">
        <v>55</v>
      </c>
      <c r="D41" s="136" t="s">
        <v>56</v>
      </c>
      <c r="E41" s="137" t="s">
        <v>57</v>
      </c>
      <c r="F41" s="138" t="s">
        <v>58</v>
      </c>
      <c r="G41" s="138" t="s">
        <v>59</v>
      </c>
      <c r="H41" s="139" t="s">
        <v>60</v>
      </c>
      <c r="I41" s="174" t="s">
        <v>61</v>
      </c>
      <c r="J41" s="175" t="s">
        <v>62</v>
      </c>
      <c r="K41" s="176" t="s">
        <v>63</v>
      </c>
      <c r="L41" s="177" t="s">
        <v>64</v>
      </c>
      <c r="M41" s="178" t="s">
        <v>65</v>
      </c>
      <c r="N41" s="179"/>
      <c r="O41" s="179"/>
      <c r="P41" s="180"/>
      <c r="Q41" s="212" t="s">
        <v>66</v>
      </c>
      <c r="R41" s="213"/>
      <c r="S41" s="213"/>
      <c r="T41" s="214"/>
      <c r="U41" s="215" t="s">
        <v>67</v>
      </c>
      <c r="V41" s="216">
        <v>0.1</v>
      </c>
      <c r="W41" s="217" t="s">
        <v>68</v>
      </c>
      <c r="X41" s="218"/>
      <c r="Y41" s="253" t="s">
        <v>69</v>
      </c>
      <c r="Z41" s="253"/>
      <c r="AA41" s="254" t="s">
        <v>70</v>
      </c>
      <c r="AB41" s="255"/>
      <c r="AC41" s="256"/>
      <c r="AD41" s="257" t="s">
        <v>71</v>
      </c>
      <c r="AE41" s="258"/>
      <c r="AF41" s="259"/>
      <c r="AG41" s="259"/>
      <c r="AH41" s="298"/>
      <c r="AI41" s="299" t="s">
        <v>72</v>
      </c>
      <c r="AJ41" s="300"/>
      <c r="AK41" s="300"/>
      <c r="AL41" s="300"/>
      <c r="AM41" s="300"/>
      <c r="AN41" s="300"/>
      <c r="AO41" s="300"/>
      <c r="AP41" s="300"/>
      <c r="AQ41" s="300"/>
      <c r="AR41" s="300"/>
      <c r="AS41" s="324"/>
      <c r="AT41" s="325" t="s">
        <v>73</v>
      </c>
    </row>
    <row r="42" s="1" customFormat="1" ht="171" customHeight="1" spans="1:46">
      <c r="A42" s="136"/>
      <c r="B42" s="136"/>
      <c r="C42" s="136"/>
      <c r="D42" s="136"/>
      <c r="E42" s="140"/>
      <c r="F42" s="138"/>
      <c r="G42" s="138"/>
      <c r="H42" s="141"/>
      <c r="I42" s="181"/>
      <c r="J42" s="182"/>
      <c r="K42" s="183"/>
      <c r="L42" s="184"/>
      <c r="M42" s="184" t="s">
        <v>74</v>
      </c>
      <c r="N42" s="185" t="s">
        <v>75</v>
      </c>
      <c r="O42" s="185" t="s">
        <v>76</v>
      </c>
      <c r="P42" s="185" t="s">
        <v>77</v>
      </c>
      <c r="Q42" s="184" t="s">
        <v>74</v>
      </c>
      <c r="R42" s="185" t="s">
        <v>75</v>
      </c>
      <c r="S42" s="185" t="s">
        <v>76</v>
      </c>
      <c r="T42" s="185" t="s">
        <v>77</v>
      </c>
      <c r="U42" s="219"/>
      <c r="V42" s="220"/>
      <c r="W42" s="221" t="s">
        <v>78</v>
      </c>
      <c r="X42" s="222" t="s">
        <v>79</v>
      </c>
      <c r="Y42" s="221" t="s">
        <v>80</v>
      </c>
      <c r="Z42" s="222" t="s">
        <v>81</v>
      </c>
      <c r="AA42" s="260" t="s">
        <v>82</v>
      </c>
      <c r="AB42" s="261" t="s">
        <v>83</v>
      </c>
      <c r="AC42" s="262" t="s">
        <v>84</v>
      </c>
      <c r="AD42" s="263"/>
      <c r="AE42" s="264" t="s">
        <v>85</v>
      </c>
      <c r="AF42" s="265" t="s">
        <v>86</v>
      </c>
      <c r="AG42" s="301">
        <v>0.4</v>
      </c>
      <c r="AH42" s="301">
        <v>0.5</v>
      </c>
      <c r="AI42" s="302" t="s">
        <v>87</v>
      </c>
      <c r="AJ42" s="302" t="s">
        <v>88</v>
      </c>
      <c r="AK42" s="303" t="s">
        <v>89</v>
      </c>
      <c r="AL42" s="304"/>
      <c r="AM42" s="303" t="s">
        <v>90</v>
      </c>
      <c r="AN42" s="304"/>
      <c r="AO42" s="222" t="s">
        <v>91</v>
      </c>
      <c r="AP42" s="303" t="s">
        <v>92</v>
      </c>
      <c r="AQ42" s="304"/>
      <c r="AR42" s="222" t="s">
        <v>94</v>
      </c>
      <c r="AS42" s="326" t="s">
        <v>95</v>
      </c>
      <c r="AT42" s="327"/>
    </row>
    <row r="43" s="117" customFormat="1" ht="53.25" customHeight="1" spans="1:46">
      <c r="A43" s="142">
        <v>1</v>
      </c>
      <c r="B43" s="143" t="s">
        <v>102</v>
      </c>
      <c r="C43" s="144" t="s">
        <v>103</v>
      </c>
      <c r="D43" s="144" t="s">
        <v>98</v>
      </c>
      <c r="E43" s="145" t="s">
        <v>99</v>
      </c>
      <c r="F43" s="146" t="s">
        <v>100</v>
      </c>
      <c r="G43" s="147">
        <v>5.41</v>
      </c>
      <c r="H43" s="148" t="s">
        <v>104</v>
      </c>
      <c r="I43" s="186">
        <f>17697*G43</f>
        <v>95740.77</v>
      </c>
      <c r="J43" s="186">
        <f>I43*0.25</f>
        <v>23935.1925</v>
      </c>
      <c r="K43" s="186">
        <f>(I43+J43)*0.5</f>
        <v>59837.98125</v>
      </c>
      <c r="L43" s="186">
        <f>(I43+J43)*1.5</f>
        <v>179513.94375</v>
      </c>
      <c r="M43" s="186"/>
      <c r="N43" s="187"/>
      <c r="O43" s="188">
        <v>26</v>
      </c>
      <c r="P43" s="187">
        <v>3</v>
      </c>
      <c r="Q43" s="191">
        <f>M43/24*L43</f>
        <v>0</v>
      </c>
      <c r="R43" s="191">
        <f>N43/18*L43</f>
        <v>0</v>
      </c>
      <c r="S43" s="191">
        <f>O43/16*L43</f>
        <v>291710.15859375</v>
      </c>
      <c r="T43" s="191">
        <f>P43/16*L43</f>
        <v>33658.864453125</v>
      </c>
      <c r="U43" s="191">
        <f>R43+S43+T43</f>
        <v>325369.023046875</v>
      </c>
      <c r="V43" s="223">
        <f>U43*0.1</f>
        <v>32536.9023046875</v>
      </c>
      <c r="W43" s="187"/>
      <c r="X43" s="187"/>
      <c r="Y43" s="187">
        <v>29</v>
      </c>
      <c r="Z43" s="186">
        <f>L43*0.3/16*Y43</f>
        <v>97610.7069140625</v>
      </c>
      <c r="AA43" s="266">
        <v>29</v>
      </c>
      <c r="AB43" s="191">
        <v>41</v>
      </c>
      <c r="AC43" s="186">
        <f>(L43*AB43/100)/16*AA43</f>
        <v>133401.299449219</v>
      </c>
      <c r="AD43" s="186"/>
      <c r="AE43" s="267"/>
      <c r="AF43" s="187">
        <v>13.25</v>
      </c>
      <c r="AG43" s="192">
        <f>SUM(17697/18*0.4*AE43)</f>
        <v>0</v>
      </c>
      <c r="AH43" s="192">
        <f>SUM(17697/16*0.5*AF43)</f>
        <v>7327.6640625</v>
      </c>
      <c r="AI43" s="192"/>
      <c r="AJ43" s="305"/>
      <c r="AK43" s="187">
        <f>SUM($I$35*AI43)*0.5</f>
        <v>0</v>
      </c>
      <c r="AL43" s="187">
        <f>SUM($I$35*AJ44)*0.6</f>
        <v>0</v>
      </c>
      <c r="AM43" s="187"/>
      <c r="AN43" s="187">
        <f>SUM($I$35*AM43)*0.2/100</f>
        <v>0</v>
      </c>
      <c r="AO43" s="187"/>
      <c r="AP43" s="187"/>
      <c r="AQ43" s="188">
        <f>SUM($AN$35*AP43)</f>
        <v>0</v>
      </c>
      <c r="AR43" s="187"/>
      <c r="AS43" s="187"/>
      <c r="AT43" s="328">
        <f>U43+V43+X43+Z43+AC43+AD43+AG43+AH43+AK43+AL43+AN43+AO43+AQ43+AR43+AS43</f>
        <v>596245.595777344</v>
      </c>
    </row>
    <row r="44" s="118" customFormat="1" ht="36" customHeight="1" spans="1:46">
      <c r="A44" s="149"/>
      <c r="B44" s="150"/>
      <c r="C44" s="145"/>
      <c r="D44" s="145"/>
      <c r="E44" s="145"/>
      <c r="F44" s="147"/>
      <c r="G44" s="147"/>
      <c r="H44" s="148"/>
      <c r="I44" s="189"/>
      <c r="J44" s="186"/>
      <c r="K44" s="186"/>
      <c r="L44" s="186"/>
      <c r="M44" s="186"/>
      <c r="N44" s="188"/>
      <c r="O44" s="188"/>
      <c r="P44" s="188"/>
      <c r="Q44" s="191"/>
      <c r="R44" s="191"/>
      <c r="S44" s="191"/>
      <c r="T44" s="191"/>
      <c r="U44" s="191"/>
      <c r="V44" s="224"/>
      <c r="W44" s="188"/>
      <c r="X44" s="188"/>
      <c r="Y44" s="187"/>
      <c r="Z44" s="186"/>
      <c r="AA44" s="189"/>
      <c r="AB44" s="268"/>
      <c r="AC44" s="186"/>
      <c r="AD44" s="189"/>
      <c r="AE44" s="267"/>
      <c r="AF44" s="188"/>
      <c r="AG44" s="192"/>
      <c r="AH44" s="192"/>
      <c r="AI44" s="192"/>
      <c r="AJ44" s="192"/>
      <c r="AK44" s="187"/>
      <c r="AL44" s="187"/>
      <c r="AM44" s="187"/>
      <c r="AN44" s="187"/>
      <c r="AO44" s="188"/>
      <c r="AP44" s="188"/>
      <c r="AQ44" s="188"/>
      <c r="AR44" s="188"/>
      <c r="AS44" s="188"/>
      <c r="AT44" s="328"/>
    </row>
    <row r="45" s="117" customFormat="1" ht="36" customHeight="1" spans="1:46">
      <c r="A45" s="151"/>
      <c r="B45" s="152" t="s">
        <v>181</v>
      </c>
      <c r="C45" s="152"/>
      <c r="D45" s="152"/>
      <c r="E45" s="153"/>
      <c r="F45" s="154"/>
      <c r="G45" s="154"/>
      <c r="H45" s="155"/>
      <c r="I45" s="190">
        <f>17697*G45</f>
        <v>0</v>
      </c>
      <c r="J45" s="186">
        <f>I45*0.25</f>
        <v>0</v>
      </c>
      <c r="K45" s="191">
        <f>SUM(K43:K44)</f>
        <v>59837.98125</v>
      </c>
      <c r="L45" s="192"/>
      <c r="M45" s="193">
        <f t="shared" ref="M45:AT45" si="1">SUM(M43:M44)</f>
        <v>0</v>
      </c>
      <c r="N45" s="193">
        <f t="shared" si="1"/>
        <v>0</v>
      </c>
      <c r="O45" s="193">
        <f t="shared" si="1"/>
        <v>26</v>
      </c>
      <c r="P45" s="193">
        <f t="shared" si="1"/>
        <v>3</v>
      </c>
      <c r="Q45" s="193">
        <f t="shared" si="1"/>
        <v>0</v>
      </c>
      <c r="R45" s="193">
        <f t="shared" si="1"/>
        <v>0</v>
      </c>
      <c r="S45" s="193">
        <f t="shared" si="1"/>
        <v>291710.15859375</v>
      </c>
      <c r="T45" s="193">
        <f t="shared" si="1"/>
        <v>33658.864453125</v>
      </c>
      <c r="U45" s="193">
        <f t="shared" si="1"/>
        <v>325369.023046875</v>
      </c>
      <c r="V45" s="193">
        <f t="shared" si="1"/>
        <v>32536.9023046875</v>
      </c>
      <c r="W45" s="193">
        <f t="shared" si="1"/>
        <v>0</v>
      </c>
      <c r="X45" s="193">
        <f t="shared" si="1"/>
        <v>0</v>
      </c>
      <c r="Y45" s="193">
        <f t="shared" si="1"/>
        <v>29</v>
      </c>
      <c r="Z45" s="193">
        <f t="shared" si="1"/>
        <v>97610.7069140625</v>
      </c>
      <c r="AA45" s="193">
        <f t="shared" si="1"/>
        <v>29</v>
      </c>
      <c r="AB45" s="193">
        <f t="shared" si="1"/>
        <v>41</v>
      </c>
      <c r="AC45" s="193">
        <f t="shared" si="1"/>
        <v>133401.299449219</v>
      </c>
      <c r="AD45" s="193">
        <f t="shared" si="1"/>
        <v>0</v>
      </c>
      <c r="AE45" s="193">
        <f t="shared" si="1"/>
        <v>0</v>
      </c>
      <c r="AF45" s="193">
        <f t="shared" si="1"/>
        <v>13.25</v>
      </c>
      <c r="AG45" s="193">
        <f t="shared" si="1"/>
        <v>0</v>
      </c>
      <c r="AH45" s="193">
        <f t="shared" si="1"/>
        <v>7327.6640625</v>
      </c>
      <c r="AI45" s="193">
        <f t="shared" si="1"/>
        <v>0</v>
      </c>
      <c r="AJ45" s="193">
        <f t="shared" si="1"/>
        <v>0</v>
      </c>
      <c r="AK45" s="193">
        <f t="shared" si="1"/>
        <v>0</v>
      </c>
      <c r="AL45" s="193">
        <f t="shared" si="1"/>
        <v>0</v>
      </c>
      <c r="AM45" s="193">
        <f t="shared" si="1"/>
        <v>0</v>
      </c>
      <c r="AN45" s="193">
        <f t="shared" si="1"/>
        <v>0</v>
      </c>
      <c r="AO45" s="193">
        <f t="shared" si="1"/>
        <v>0</v>
      </c>
      <c r="AP45" s="193">
        <f t="shared" si="1"/>
        <v>0</v>
      </c>
      <c r="AQ45" s="193">
        <f t="shared" si="1"/>
        <v>0</v>
      </c>
      <c r="AR45" s="193">
        <f t="shared" si="1"/>
        <v>0</v>
      </c>
      <c r="AS45" s="193">
        <f t="shared" si="1"/>
        <v>0</v>
      </c>
      <c r="AT45" s="193">
        <f t="shared" si="1"/>
        <v>596245.595777344</v>
      </c>
    </row>
    <row r="46" s="119" customFormat="1" ht="53.25" customHeight="1" spans="1:37">
      <c r="A46" s="156"/>
      <c r="B46" s="157" t="s">
        <v>276</v>
      </c>
      <c r="C46" s="158"/>
      <c r="D46" s="157"/>
      <c r="E46" s="159"/>
      <c r="F46" s="159"/>
      <c r="G46" s="159"/>
      <c r="H46" s="159"/>
      <c r="I46" s="194"/>
      <c r="J46" s="194"/>
      <c r="K46" s="194"/>
      <c r="L46" s="194"/>
      <c r="M46" s="195"/>
      <c r="N46" s="157"/>
      <c r="O46" s="157"/>
      <c r="P46" s="157"/>
      <c r="Q46" s="157"/>
      <c r="R46" s="157"/>
      <c r="S46" s="157" t="s">
        <v>183</v>
      </c>
      <c r="T46" s="157"/>
      <c r="U46" s="157"/>
      <c r="V46" s="157"/>
      <c r="W46" s="157"/>
      <c r="X46" s="157"/>
      <c r="Y46" s="157"/>
      <c r="Z46" s="157"/>
      <c r="AA46" s="157"/>
      <c r="AB46" s="269"/>
      <c r="AC46" s="269"/>
      <c r="AD46" s="157"/>
      <c r="AF46" s="157"/>
      <c r="AG46" s="157"/>
      <c r="AH46" s="157"/>
      <c r="AI46" s="157"/>
      <c r="AJ46" s="157"/>
      <c r="AK46" s="306"/>
    </row>
    <row r="47" s="1" customFormat="1" ht="33.75" customHeight="1" spans="1:37">
      <c r="A47" s="34"/>
      <c r="B47" s="35"/>
      <c r="C47" s="35"/>
      <c r="D47" s="35"/>
      <c r="E47" s="36"/>
      <c r="F47" s="36"/>
      <c r="G47" s="36"/>
      <c r="H47" s="36"/>
      <c r="I47" s="62"/>
      <c r="J47" s="62"/>
      <c r="K47" s="62"/>
      <c r="L47" s="62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96"/>
      <c r="AC47" s="96"/>
      <c r="AD47" s="96"/>
      <c r="AE47" s="97"/>
      <c r="AF47" s="35"/>
      <c r="AG47" s="35"/>
      <c r="AH47" s="35"/>
      <c r="AI47" s="35"/>
      <c r="AJ47" s="35"/>
      <c r="AK47" s="35"/>
    </row>
    <row r="48" s="1" customFormat="1" ht="35.25" hidden="1" spans="1:37">
      <c r="A48" s="7"/>
      <c r="B48" s="35"/>
      <c r="C48" s="37"/>
      <c r="D48" s="37"/>
      <c r="E48" s="38"/>
      <c r="F48" s="38"/>
      <c r="G48" s="38"/>
      <c r="H48" s="38"/>
      <c r="I48" s="63"/>
      <c r="J48" s="63"/>
      <c r="K48" s="63"/>
      <c r="L48" s="63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98"/>
      <c r="AF48" s="37"/>
      <c r="AG48" s="37"/>
      <c r="AH48" s="37"/>
      <c r="AI48" s="37"/>
      <c r="AJ48" s="37"/>
      <c r="AK48" s="37"/>
    </row>
    <row r="49" ht="35.25" spans="1:2">
      <c r="A49" s="37"/>
      <c r="B49" s="37"/>
    </row>
  </sheetData>
  <mergeCells count="68">
    <mergeCell ref="AA2:AK2"/>
    <mergeCell ref="T3:X3"/>
    <mergeCell ref="AA3:AK3"/>
    <mergeCell ref="AA4:AK4"/>
    <mergeCell ref="B5:F5"/>
    <mergeCell ref="Q5:X5"/>
    <mergeCell ref="AA5:AK5"/>
    <mergeCell ref="Q7:X7"/>
    <mergeCell ref="AA8:AK8"/>
    <mergeCell ref="AA9:AK9"/>
    <mergeCell ref="AA10:AK10"/>
    <mergeCell ref="AA11:AK11"/>
    <mergeCell ref="AA12:AK12"/>
    <mergeCell ref="AA13:AK13"/>
    <mergeCell ref="AA14:AK14"/>
    <mergeCell ref="AA15:AK15"/>
    <mergeCell ref="AA16:AK16"/>
    <mergeCell ref="AA17:AK17"/>
    <mergeCell ref="AA18:AK18"/>
    <mergeCell ref="AA19:AK19"/>
    <mergeCell ref="AA20:AK20"/>
    <mergeCell ref="AA21:AK21"/>
    <mergeCell ref="AA22:AK22"/>
    <mergeCell ref="AA23:AK23"/>
    <mergeCell ref="AA24:AK24"/>
    <mergeCell ref="AA25:AK25"/>
    <mergeCell ref="AA26:AK26"/>
    <mergeCell ref="AA27:AK27"/>
    <mergeCell ref="AA28:AK28"/>
    <mergeCell ref="AA29:AK29"/>
    <mergeCell ref="AA30:AK30"/>
    <mergeCell ref="AA31:AK31"/>
    <mergeCell ref="Y32:AK32"/>
    <mergeCell ref="M34:AE34"/>
    <mergeCell ref="AN35:AO35"/>
    <mergeCell ref="M41:P41"/>
    <mergeCell ref="Q41:T41"/>
    <mergeCell ref="W41:X41"/>
    <mergeCell ref="Y41:Z41"/>
    <mergeCell ref="AA41:AC41"/>
    <mergeCell ref="AE41:AH41"/>
    <mergeCell ref="AI41:AS41"/>
    <mergeCell ref="AK42:AL42"/>
    <mergeCell ref="AM42:AN42"/>
    <mergeCell ref="AP42:AQ42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U41:U42"/>
    <mergeCell ref="V41:V42"/>
    <mergeCell ref="Y6:Y7"/>
    <mergeCell ref="AD41:AD42"/>
    <mergeCell ref="AL6:AL7"/>
    <mergeCell ref="AM6:AM7"/>
    <mergeCell ref="AN6:AN7"/>
    <mergeCell ref="AO6:AO7"/>
    <mergeCell ref="AP6:AP7"/>
    <mergeCell ref="AT41:AT42"/>
    <mergeCell ref="AA6:AK7"/>
  </mergeCells>
  <pageMargins left="0.708661417322835" right="0.708661417322835" top="0.748031496062992" bottom="0.748031496062992" header="0.31496062992126" footer="0.31496062992126"/>
  <pageSetup paperSize="9" scale="26" firstPageNumber="0" fitToWidth="2" orientation="landscape" useFirstPageNumber="1" verticalDpi="300"/>
  <headerFooter alignWithMargins="0"/>
  <colBreaks count="2" manualBreakCount="2">
    <brk id="21" max="48" man="1"/>
    <brk id="46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T17"/>
  <sheetViews>
    <sheetView tabSelected="1" topLeftCell="Y9" workbookViewId="0">
      <selection activeCell="I11" sqref="I11"/>
    </sheetView>
  </sheetViews>
  <sheetFormatPr defaultColWidth="9" defaultRowHeight="12.75"/>
  <cols>
    <col min="1" max="1" width="9.28888888888889" customWidth="1"/>
    <col min="2" max="2" width="20.1444444444444" customWidth="1"/>
    <col min="3" max="3" width="23.8555555555556" customWidth="1"/>
    <col min="7" max="7" width="9.28888888888889" customWidth="1"/>
    <col min="9" max="9" width="13.1666666666667" customWidth="1"/>
    <col min="10" max="10" width="11.6666666666667" customWidth="1"/>
    <col min="11" max="11" width="9.56666666666667" customWidth="1"/>
    <col min="12" max="12" width="13.3333333333333" customWidth="1"/>
    <col min="13" max="18" width="9.28888888888889" customWidth="1"/>
    <col min="19" max="19" width="11.5666666666667" customWidth="1"/>
    <col min="20" max="20" width="10.4222222222222" customWidth="1"/>
    <col min="21" max="21" width="11.5666666666667" customWidth="1"/>
    <col min="22" max="22" width="10.4222222222222" customWidth="1"/>
    <col min="23" max="25" width="9.28888888888889" customWidth="1"/>
    <col min="26" max="26" width="10.4222222222222" customWidth="1"/>
    <col min="27" max="28" width="9.28888888888889" customWidth="1"/>
    <col min="29" max="29" width="16.1666666666667" customWidth="1"/>
    <col min="30" max="45" width="9.28888888888889" customWidth="1"/>
    <col min="46" max="46" width="17.3333333333333" customWidth="1"/>
  </cols>
  <sheetData>
    <row r="2" s="1" customFormat="1" ht="28.5" customHeight="1" spans="1:44">
      <c r="A2" s="7"/>
      <c r="B2" s="8"/>
      <c r="C2" s="8"/>
      <c r="D2" s="8"/>
      <c r="E2" s="9"/>
      <c r="F2" s="9"/>
      <c r="G2" s="9"/>
      <c r="H2" s="9"/>
      <c r="I2" s="40"/>
      <c r="J2" s="40"/>
      <c r="K2" s="40"/>
      <c r="L2" s="40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78"/>
      <c r="AG2" s="10"/>
      <c r="AH2" s="10"/>
      <c r="AI2" s="10"/>
      <c r="AJ2" s="10"/>
      <c r="AK2" s="10"/>
      <c r="AL2" s="99"/>
      <c r="AM2" s="99"/>
      <c r="AN2" s="99"/>
      <c r="AO2" s="99"/>
      <c r="AP2" s="99"/>
      <c r="AQ2" s="99"/>
      <c r="AR2" s="99"/>
    </row>
    <row r="3" s="1" customFormat="1" ht="22.5" customHeight="1" spans="1:44">
      <c r="A3" s="7"/>
      <c r="B3" s="10"/>
      <c r="C3" s="10"/>
      <c r="D3" s="10"/>
      <c r="E3" s="11"/>
      <c r="F3" s="11"/>
      <c r="G3" s="11"/>
      <c r="H3" s="11"/>
      <c r="I3" s="42">
        <v>17697</v>
      </c>
      <c r="J3" s="42"/>
      <c r="K3" s="42"/>
      <c r="L3" s="42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99"/>
      <c r="AM3" s="99"/>
      <c r="AN3" s="100">
        <v>2917</v>
      </c>
      <c r="AO3" s="100"/>
      <c r="AP3" s="99"/>
      <c r="AQ3" s="99"/>
      <c r="AR3" s="99"/>
    </row>
    <row r="4" s="1" customFormat="1" ht="1.5" hidden="1" customHeight="1" spans="1:44">
      <c r="A4" s="7"/>
      <c r="B4" s="10"/>
      <c r="C4" s="10"/>
      <c r="D4" s="10"/>
      <c r="E4" s="11"/>
      <c r="F4" s="11"/>
      <c r="G4" s="11"/>
      <c r="H4" s="11"/>
      <c r="I4" s="42"/>
      <c r="J4" s="42"/>
      <c r="K4" s="42"/>
      <c r="L4" s="4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99"/>
      <c r="AM4" s="99"/>
      <c r="AN4" s="99"/>
      <c r="AO4" s="99"/>
      <c r="AP4" s="99"/>
      <c r="AQ4" s="99"/>
      <c r="AR4" s="99"/>
    </row>
    <row r="5" s="1" customFormat="1" ht="34.5" hidden="1" customHeight="1" spans="1:44">
      <c r="A5" s="7"/>
      <c r="B5" s="10"/>
      <c r="C5" s="10"/>
      <c r="D5" s="10"/>
      <c r="E5" s="11"/>
      <c r="F5" s="11"/>
      <c r="G5" s="11"/>
      <c r="H5" s="11"/>
      <c r="I5" s="42"/>
      <c r="J5" s="42"/>
      <c r="K5" s="42"/>
      <c r="L5" s="42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99"/>
      <c r="AM5" s="99"/>
      <c r="AN5" s="99"/>
      <c r="AO5" s="99"/>
      <c r="AP5" s="99"/>
      <c r="AQ5" s="99"/>
      <c r="AR5" s="99"/>
    </row>
    <row r="6" s="1" customFormat="1" ht="34.5" hidden="1" customHeight="1" spans="1:44">
      <c r="A6" s="7"/>
      <c r="B6" s="10"/>
      <c r="C6" s="10"/>
      <c r="D6" s="10"/>
      <c r="E6" s="11"/>
      <c r="F6" s="11"/>
      <c r="G6" s="11"/>
      <c r="H6" s="11"/>
      <c r="I6" s="42"/>
      <c r="J6" s="42"/>
      <c r="K6" s="42"/>
      <c r="L6" s="42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99"/>
      <c r="AM6" s="99"/>
      <c r="AN6" s="99"/>
      <c r="AO6" s="99"/>
      <c r="AP6" s="99"/>
      <c r="AQ6" s="99"/>
      <c r="AR6" s="99"/>
    </row>
    <row r="7" s="1" customFormat="1" ht="32.25" hidden="1" customHeight="1" spans="1:44">
      <c r="A7" s="7"/>
      <c r="B7" s="10"/>
      <c r="C7" s="10"/>
      <c r="D7" s="10"/>
      <c r="E7" s="11"/>
      <c r="F7" s="11"/>
      <c r="G7" s="11"/>
      <c r="H7" s="11"/>
      <c r="I7" s="42"/>
      <c r="J7" s="42"/>
      <c r="K7" s="42"/>
      <c r="L7" s="42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99"/>
      <c r="AM7" s="99"/>
      <c r="AN7" s="99"/>
      <c r="AO7" s="99"/>
      <c r="AP7" s="99"/>
      <c r="AQ7" s="99"/>
      <c r="AR7" s="99"/>
    </row>
    <row r="8" s="1" customFormat="1" ht="34.5" hidden="1" customHeight="1" spans="1:44">
      <c r="A8" s="7"/>
      <c r="B8" s="10"/>
      <c r="C8" s="10"/>
      <c r="D8" s="10"/>
      <c r="E8" s="11"/>
      <c r="F8" s="11"/>
      <c r="G8" s="11"/>
      <c r="H8" s="11"/>
      <c r="I8" s="42"/>
      <c r="J8" s="42"/>
      <c r="K8" s="42"/>
      <c r="L8" s="42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99"/>
      <c r="AM8" s="99"/>
      <c r="AN8" s="99"/>
      <c r="AO8" s="99"/>
      <c r="AP8" s="99"/>
      <c r="AQ8" s="99"/>
      <c r="AR8" s="99"/>
    </row>
    <row r="9" s="2" customFormat="1" ht="42.75" customHeight="1" spans="1:46">
      <c r="A9" s="12" t="s">
        <v>53</v>
      </c>
      <c r="B9" s="12" t="s">
        <v>54</v>
      </c>
      <c r="C9" s="12" t="s">
        <v>55</v>
      </c>
      <c r="D9" s="12" t="s">
        <v>56</v>
      </c>
      <c r="E9" s="13" t="s">
        <v>57</v>
      </c>
      <c r="F9" s="14" t="s">
        <v>58</v>
      </c>
      <c r="G9" s="14" t="s">
        <v>59</v>
      </c>
      <c r="H9" s="15" t="s">
        <v>60</v>
      </c>
      <c r="I9" s="43" t="s">
        <v>61</v>
      </c>
      <c r="J9" s="44" t="s">
        <v>62</v>
      </c>
      <c r="K9" s="45" t="s">
        <v>63</v>
      </c>
      <c r="L9" s="46" t="s">
        <v>64</v>
      </c>
      <c r="M9" s="47" t="s">
        <v>65</v>
      </c>
      <c r="N9" s="48"/>
      <c r="O9" s="48"/>
      <c r="P9" s="49"/>
      <c r="Q9" s="65" t="s">
        <v>66</v>
      </c>
      <c r="R9" s="66"/>
      <c r="S9" s="66"/>
      <c r="T9" s="67"/>
      <c r="U9" s="68" t="s">
        <v>67</v>
      </c>
      <c r="V9" s="69">
        <v>0.1</v>
      </c>
      <c r="W9" s="70" t="s">
        <v>68</v>
      </c>
      <c r="X9" s="71"/>
      <c r="Y9" s="79" t="s">
        <v>69</v>
      </c>
      <c r="Z9" s="79"/>
      <c r="AA9" s="80" t="s">
        <v>70</v>
      </c>
      <c r="AB9" s="81"/>
      <c r="AC9" s="82"/>
      <c r="AD9" s="83" t="s">
        <v>71</v>
      </c>
      <c r="AE9" s="84"/>
      <c r="AF9" s="85"/>
      <c r="AG9" s="85"/>
      <c r="AH9" s="101"/>
      <c r="AI9" s="102" t="s">
        <v>72</v>
      </c>
      <c r="AJ9" s="103"/>
      <c r="AK9" s="103"/>
      <c r="AL9" s="103"/>
      <c r="AM9" s="103"/>
      <c r="AN9" s="103"/>
      <c r="AO9" s="103"/>
      <c r="AP9" s="103"/>
      <c r="AQ9" s="103"/>
      <c r="AR9" s="103"/>
      <c r="AS9" s="110"/>
      <c r="AT9" s="111" t="s">
        <v>73</v>
      </c>
    </row>
    <row r="10" s="2" customFormat="1" ht="171" customHeight="1" spans="1:46">
      <c r="A10" s="12"/>
      <c r="B10" s="12"/>
      <c r="C10" s="12"/>
      <c r="D10" s="12"/>
      <c r="E10" s="16"/>
      <c r="F10" s="14"/>
      <c r="G10" s="14"/>
      <c r="H10" s="17"/>
      <c r="I10" s="50"/>
      <c r="J10" s="16"/>
      <c r="K10" s="51"/>
      <c r="L10" s="52"/>
      <c r="M10" s="52" t="s">
        <v>74</v>
      </c>
      <c r="N10" s="53" t="s">
        <v>75</v>
      </c>
      <c r="O10" s="53" t="s">
        <v>76</v>
      </c>
      <c r="P10" s="53" t="s">
        <v>77</v>
      </c>
      <c r="Q10" s="52" t="s">
        <v>74</v>
      </c>
      <c r="R10" s="53" t="s">
        <v>75</v>
      </c>
      <c r="S10" s="53" t="s">
        <v>76</v>
      </c>
      <c r="T10" s="53" t="s">
        <v>77</v>
      </c>
      <c r="U10" s="72"/>
      <c r="V10" s="73"/>
      <c r="W10" s="74" t="s">
        <v>78</v>
      </c>
      <c r="X10" s="75" t="s">
        <v>79</v>
      </c>
      <c r="Y10" s="74" t="s">
        <v>80</v>
      </c>
      <c r="Z10" s="75" t="s">
        <v>81</v>
      </c>
      <c r="AA10" s="86" t="s">
        <v>82</v>
      </c>
      <c r="AB10" s="87" t="s">
        <v>83</v>
      </c>
      <c r="AC10" s="88" t="s">
        <v>84</v>
      </c>
      <c r="AD10" s="89"/>
      <c r="AE10" s="90" t="s">
        <v>85</v>
      </c>
      <c r="AF10" s="91" t="s">
        <v>86</v>
      </c>
      <c r="AG10" s="104">
        <v>0.4</v>
      </c>
      <c r="AH10" s="104">
        <v>0.5</v>
      </c>
      <c r="AI10" s="105" t="s">
        <v>87</v>
      </c>
      <c r="AJ10" s="105" t="s">
        <v>88</v>
      </c>
      <c r="AK10" s="106" t="s">
        <v>89</v>
      </c>
      <c r="AL10" s="107"/>
      <c r="AM10" s="106" t="s">
        <v>90</v>
      </c>
      <c r="AN10" s="107"/>
      <c r="AO10" s="75" t="s">
        <v>91</v>
      </c>
      <c r="AP10" s="106" t="s">
        <v>92</v>
      </c>
      <c r="AQ10" s="107"/>
      <c r="AR10" s="75" t="s">
        <v>94</v>
      </c>
      <c r="AS10" s="112" t="s">
        <v>95</v>
      </c>
      <c r="AT10" s="113"/>
    </row>
    <row r="11" s="3" customFormat="1" ht="53.25" customHeight="1" spans="1:46">
      <c r="A11" s="18">
        <v>1</v>
      </c>
      <c r="B11" s="19" t="s">
        <v>130</v>
      </c>
      <c r="C11" s="20" t="s">
        <v>277</v>
      </c>
      <c r="D11" s="20" t="s">
        <v>98</v>
      </c>
      <c r="E11" s="21" t="s">
        <v>119</v>
      </c>
      <c r="F11" s="22" t="s">
        <v>100</v>
      </c>
      <c r="G11" s="23">
        <v>5.41</v>
      </c>
      <c r="H11" s="24" t="s">
        <v>104</v>
      </c>
      <c r="I11" s="54">
        <f>17697*G11</f>
        <v>95740.77</v>
      </c>
      <c r="J11" s="54">
        <f>I11*0.25</f>
        <v>23935.1925</v>
      </c>
      <c r="K11" s="54">
        <f>(I11+J11)*0.5</f>
        <v>59837.98125</v>
      </c>
      <c r="L11" s="54">
        <f>(I11+J11)*1.5</f>
        <v>179513.94375</v>
      </c>
      <c r="M11" s="54"/>
      <c r="N11" s="18"/>
      <c r="O11" s="55">
        <v>26</v>
      </c>
      <c r="P11" s="18">
        <v>3</v>
      </c>
      <c r="Q11" s="58">
        <f>M11/24*L11</f>
        <v>0</v>
      </c>
      <c r="R11" s="58">
        <f>N11/18*L11</f>
        <v>0</v>
      </c>
      <c r="S11" s="58">
        <f>O11/16*L11</f>
        <v>291710.15859375</v>
      </c>
      <c r="T11" s="58">
        <f>P11/16*L11</f>
        <v>33658.864453125</v>
      </c>
      <c r="U11" s="58">
        <f>R11+S11+T11</f>
        <v>325369.023046875</v>
      </c>
      <c r="V11" s="76">
        <f>U11*0.1</f>
        <v>32536.9023046875</v>
      </c>
      <c r="W11" s="18"/>
      <c r="X11" s="18"/>
      <c r="Y11" s="18">
        <v>29</v>
      </c>
      <c r="Z11" s="54">
        <f>L11*0.3/16*Y11</f>
        <v>97610.7069140625</v>
      </c>
      <c r="AA11" s="92">
        <v>29</v>
      </c>
      <c r="AB11" s="58">
        <v>41</v>
      </c>
      <c r="AC11" s="54">
        <f>(L11*AB11/100)/16*AA11</f>
        <v>133401.299449219</v>
      </c>
      <c r="AD11" s="54"/>
      <c r="AE11" s="93"/>
      <c r="AF11" s="18">
        <v>13.25</v>
      </c>
      <c r="AG11" s="59">
        <f>SUM(17697/18*0.4*AE11)</f>
        <v>0</v>
      </c>
      <c r="AH11" s="59">
        <f>SUM(17697/16*0.5*AF11)</f>
        <v>7327.6640625</v>
      </c>
      <c r="AI11" s="59"/>
      <c r="AJ11" s="108"/>
      <c r="AK11" s="18">
        <f>SUM($I$35*AI11)*0.5</f>
        <v>0</v>
      </c>
      <c r="AL11" s="18">
        <f>SUM($I$35*AJ12)*0.6</f>
        <v>0</v>
      </c>
      <c r="AM11" s="18"/>
      <c r="AN11" s="18">
        <f>SUM($I$35*AM11)*0.2/100</f>
        <v>0</v>
      </c>
      <c r="AO11" s="18"/>
      <c r="AP11" s="18"/>
      <c r="AQ11" s="55">
        <f>SUM($AN$35*AP11)</f>
        <v>0</v>
      </c>
      <c r="AR11" s="18"/>
      <c r="AS11" s="18"/>
      <c r="AT11" s="114">
        <f>U11+V11+X11+Z11+AC11+AD11+AG11+AH11+AK11+AL11+AN11+AO11+AQ11+AR11+AS11</f>
        <v>596245.595777344</v>
      </c>
    </row>
    <row r="12" s="4" customFormat="1" ht="36" customHeight="1" spans="1:46">
      <c r="A12" s="25"/>
      <c r="B12" s="26"/>
      <c r="C12" s="21"/>
      <c r="D12" s="21"/>
      <c r="E12" s="21"/>
      <c r="F12" s="23"/>
      <c r="G12" s="23"/>
      <c r="H12" s="24"/>
      <c r="I12" s="56"/>
      <c r="J12" s="54"/>
      <c r="K12" s="54"/>
      <c r="L12" s="54"/>
      <c r="M12" s="54"/>
      <c r="N12" s="55"/>
      <c r="O12" s="55"/>
      <c r="P12" s="55"/>
      <c r="Q12" s="58"/>
      <c r="R12" s="58"/>
      <c r="S12" s="58"/>
      <c r="T12" s="58"/>
      <c r="U12" s="58"/>
      <c r="V12" s="77"/>
      <c r="W12" s="55"/>
      <c r="X12" s="55"/>
      <c r="Y12" s="18"/>
      <c r="Z12" s="54"/>
      <c r="AA12" s="56"/>
      <c r="AB12" s="94"/>
      <c r="AC12" s="54"/>
      <c r="AD12" s="56"/>
      <c r="AE12" s="93"/>
      <c r="AF12" s="55"/>
      <c r="AG12" s="59"/>
      <c r="AH12" s="59"/>
      <c r="AI12" s="59"/>
      <c r="AJ12" s="59"/>
      <c r="AK12" s="18"/>
      <c r="AL12" s="18"/>
      <c r="AM12" s="18"/>
      <c r="AN12" s="18"/>
      <c r="AO12" s="55"/>
      <c r="AP12" s="55"/>
      <c r="AQ12" s="55"/>
      <c r="AR12" s="55"/>
      <c r="AS12" s="55"/>
      <c r="AT12" s="114"/>
    </row>
    <row r="13" s="3" customFormat="1" ht="36" customHeight="1" spans="1:46">
      <c r="A13" s="18"/>
      <c r="B13" s="27" t="s">
        <v>181</v>
      </c>
      <c r="C13" s="27"/>
      <c r="D13" s="27"/>
      <c r="E13" s="28"/>
      <c r="F13" s="29"/>
      <c r="G13" s="29"/>
      <c r="H13" s="30"/>
      <c r="I13" s="57">
        <f>17697*G13</f>
        <v>0</v>
      </c>
      <c r="J13" s="54">
        <f>I13*0.25</f>
        <v>0</v>
      </c>
      <c r="K13" s="58">
        <f>SUM(K11:K12)</f>
        <v>59837.98125</v>
      </c>
      <c r="L13" s="59"/>
      <c r="M13" s="60">
        <f t="shared" ref="M13:AT13" si="0">SUM(M11:M12)</f>
        <v>0</v>
      </c>
      <c r="N13" s="60">
        <f t="shared" si="0"/>
        <v>0</v>
      </c>
      <c r="O13" s="60">
        <f t="shared" si="0"/>
        <v>26</v>
      </c>
      <c r="P13" s="60">
        <f t="shared" si="0"/>
        <v>3</v>
      </c>
      <c r="Q13" s="60">
        <f t="shared" si="0"/>
        <v>0</v>
      </c>
      <c r="R13" s="60">
        <f t="shared" si="0"/>
        <v>0</v>
      </c>
      <c r="S13" s="60">
        <f t="shared" si="0"/>
        <v>291710.15859375</v>
      </c>
      <c r="T13" s="60">
        <f t="shared" si="0"/>
        <v>33658.864453125</v>
      </c>
      <c r="U13" s="60">
        <f t="shared" si="0"/>
        <v>325369.023046875</v>
      </c>
      <c r="V13" s="60">
        <f t="shared" si="0"/>
        <v>32536.9023046875</v>
      </c>
      <c r="W13" s="60">
        <f t="shared" si="0"/>
        <v>0</v>
      </c>
      <c r="X13" s="60">
        <f t="shared" si="0"/>
        <v>0</v>
      </c>
      <c r="Y13" s="60">
        <f t="shared" si="0"/>
        <v>29</v>
      </c>
      <c r="Z13" s="60">
        <f t="shared" si="0"/>
        <v>97610.7069140625</v>
      </c>
      <c r="AA13" s="60">
        <f t="shared" si="0"/>
        <v>29</v>
      </c>
      <c r="AB13" s="60">
        <f t="shared" si="0"/>
        <v>41</v>
      </c>
      <c r="AC13" s="60">
        <f t="shared" si="0"/>
        <v>133401.299449219</v>
      </c>
      <c r="AD13" s="60">
        <f t="shared" si="0"/>
        <v>0</v>
      </c>
      <c r="AE13" s="60">
        <f t="shared" si="0"/>
        <v>0</v>
      </c>
      <c r="AF13" s="60">
        <f t="shared" si="0"/>
        <v>13.25</v>
      </c>
      <c r="AG13" s="60">
        <f t="shared" si="0"/>
        <v>0</v>
      </c>
      <c r="AH13" s="60">
        <f t="shared" si="0"/>
        <v>7327.6640625</v>
      </c>
      <c r="AI13" s="60">
        <f t="shared" si="0"/>
        <v>0</v>
      </c>
      <c r="AJ13" s="60">
        <f t="shared" si="0"/>
        <v>0</v>
      </c>
      <c r="AK13" s="60">
        <f t="shared" si="0"/>
        <v>0</v>
      </c>
      <c r="AL13" s="60">
        <f t="shared" si="0"/>
        <v>0</v>
      </c>
      <c r="AM13" s="60">
        <f t="shared" si="0"/>
        <v>0</v>
      </c>
      <c r="AN13" s="60">
        <f t="shared" si="0"/>
        <v>0</v>
      </c>
      <c r="AO13" s="60">
        <f t="shared" si="0"/>
        <v>0</v>
      </c>
      <c r="AP13" s="60">
        <f t="shared" si="0"/>
        <v>0</v>
      </c>
      <c r="AQ13" s="60">
        <f t="shared" si="0"/>
        <v>0</v>
      </c>
      <c r="AR13" s="60">
        <f t="shared" si="0"/>
        <v>0</v>
      </c>
      <c r="AS13" s="60">
        <f t="shared" si="0"/>
        <v>0</v>
      </c>
      <c r="AT13" s="60">
        <f t="shared" si="0"/>
        <v>596245.595777344</v>
      </c>
    </row>
    <row r="14" s="5" customFormat="1" ht="53.25" customHeight="1" spans="1:37">
      <c r="A14" s="18"/>
      <c r="B14" s="31" t="s">
        <v>276</v>
      </c>
      <c r="C14" s="32"/>
      <c r="D14" s="31"/>
      <c r="E14" s="33"/>
      <c r="F14" s="33"/>
      <c r="G14" s="33"/>
      <c r="H14" s="33"/>
      <c r="I14" s="61"/>
      <c r="J14" s="61"/>
      <c r="K14" s="61"/>
      <c r="L14" s="61"/>
      <c r="M14" s="31"/>
      <c r="N14" s="31"/>
      <c r="O14" s="31"/>
      <c r="P14" s="31"/>
      <c r="Q14" s="31"/>
      <c r="R14" s="31"/>
      <c r="S14" s="31" t="s">
        <v>183</v>
      </c>
      <c r="T14" s="31"/>
      <c r="U14" s="31"/>
      <c r="V14" s="31"/>
      <c r="W14" s="31"/>
      <c r="X14" s="31"/>
      <c r="Y14" s="31"/>
      <c r="Z14" s="31"/>
      <c r="AA14" s="31"/>
      <c r="AB14" s="95"/>
      <c r="AC14" s="95"/>
      <c r="AD14" s="31"/>
      <c r="AF14" s="31"/>
      <c r="AG14" s="31"/>
      <c r="AH14" s="31"/>
      <c r="AI14" s="31"/>
      <c r="AJ14" s="31"/>
      <c r="AK14" s="109"/>
    </row>
    <row r="15" s="1" customFormat="1" ht="33.75" customHeight="1" spans="1:37">
      <c r="A15" s="34"/>
      <c r="B15" s="35"/>
      <c r="C15" s="35"/>
      <c r="D15" s="35"/>
      <c r="E15" s="36"/>
      <c r="F15" s="36"/>
      <c r="G15" s="36"/>
      <c r="H15" s="36"/>
      <c r="I15" s="62"/>
      <c r="J15" s="62"/>
      <c r="K15" s="62"/>
      <c r="L15" s="62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96"/>
      <c r="AC15" s="96"/>
      <c r="AD15" s="96"/>
      <c r="AE15" s="97"/>
      <c r="AF15" s="35"/>
      <c r="AG15" s="35"/>
      <c r="AH15" s="35"/>
      <c r="AI15" s="35"/>
      <c r="AJ15" s="35"/>
      <c r="AK15" s="35"/>
    </row>
    <row r="16" s="1" customFormat="1" ht="35.25" hidden="1" spans="1:37">
      <c r="A16" s="7"/>
      <c r="B16" s="35"/>
      <c r="C16" s="37"/>
      <c r="D16" s="37"/>
      <c r="E16" s="38"/>
      <c r="F16" s="38"/>
      <c r="G16" s="38"/>
      <c r="H16" s="38"/>
      <c r="I16" s="63"/>
      <c r="J16" s="63"/>
      <c r="K16" s="63"/>
      <c r="L16" s="63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98"/>
      <c r="AF16" s="37"/>
      <c r="AG16" s="37"/>
      <c r="AH16" s="37"/>
      <c r="AI16" s="37"/>
      <c r="AJ16" s="37"/>
      <c r="AK16" s="37"/>
    </row>
    <row r="17" s="6" customFormat="1" ht="35.25" spans="1:12">
      <c r="A17" s="37"/>
      <c r="B17" s="37"/>
      <c r="E17" s="39"/>
      <c r="F17" s="39"/>
      <c r="G17" s="39"/>
      <c r="H17" s="39"/>
      <c r="I17" s="64"/>
      <c r="J17" s="64"/>
      <c r="K17" s="64"/>
      <c r="L17" s="64"/>
    </row>
  </sheetData>
  <mergeCells count="28">
    <mergeCell ref="M2:AE2"/>
    <mergeCell ref="AN3:AO3"/>
    <mergeCell ref="M9:P9"/>
    <mergeCell ref="Q9:T9"/>
    <mergeCell ref="W9:X9"/>
    <mergeCell ref="Y9:Z9"/>
    <mergeCell ref="AA9:AC9"/>
    <mergeCell ref="AE9:AH9"/>
    <mergeCell ref="AI9:AS9"/>
    <mergeCell ref="AK10:AL10"/>
    <mergeCell ref="AM10:AN10"/>
    <mergeCell ref="AP10:AQ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U9:U10"/>
    <mergeCell ref="V9:V10"/>
    <mergeCell ref="AD9:AD10"/>
    <mergeCell ref="AT9:A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Тариф 01.09.2021г.</vt:lpstr>
      <vt:lpstr>Штат 01.09.2021г</vt:lpstr>
      <vt:lpstr>допка 20,09,2021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ЛюбовьЮрьевна</cp:lastModifiedBy>
  <dcterms:created xsi:type="dcterms:W3CDTF">2014-03-18T18:18:00Z</dcterms:created>
  <cp:lastPrinted>2021-12-07T10:01:00Z</cp:lastPrinted>
  <dcterms:modified xsi:type="dcterms:W3CDTF">2023-07-05T06:26:59Z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1049-11.2.0.11537</vt:lpwstr>
  </property>
  <property fmtid="{D5CDD505-2E9C-101B-9397-08002B2CF9AE}" pid="3" name="ICV">
    <vt:lpwstr>F24E1482479B4C4D97BC33F96C295ED9</vt:lpwstr>
  </property>
</Properties>
</file>